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Licitacions\00 - Licitacions\Concursos 2025\SCS-2025-23 Hemodiàlisi\06 Publicacions - DOUE i PC\Doc a penjar al PC\Annexos\"/>
    </mc:Choice>
  </mc:AlternateContent>
  <bookViews>
    <workbookView xWindow="-120" yWindow="-120" windowWidth="29040" windowHeight="15840"/>
  </bookViews>
  <sheets>
    <sheet name="Lleida - Alt Pirineu" sheetId="67" r:id="rId1"/>
    <sheet name="Terres de l'Ebre" sheetId="66" r:id="rId2"/>
    <sheet name="BLLN" sheetId="65" r:id="rId3"/>
    <sheet name="Dr. Lit. 1 VM" sheetId="56" r:id="rId4"/>
    <sheet name="Dr. Lit. 1 Palau" sheetId="57" r:id="rId5"/>
    <sheet name="Bcn Esquerra 1" sheetId="58" r:id="rId6"/>
    <sheet name="Bcn Nord Rotellar" sheetId="59" r:id="rId7"/>
    <sheet name="Bcn Nord Nephros" sheetId="60" r:id="rId8"/>
    <sheet name="Bcnes Nord Bx Maresme" sheetId="61" r:id="rId9"/>
    <sheet name="Alt Maresme" sheetId="62" r:id="rId10"/>
    <sheet name="Maresme Central" sheetId="63" r:id="rId11"/>
    <sheet name="Baix Llobregat 1" sheetId="64" r:id="rId12"/>
    <sheet name="Bcn Dreta Litoral 2 Diagonal" sheetId="68" r:id="rId13"/>
    <sheet name="BBcn Dreta Litoral 2 Glòries" sheetId="69" r:id="rId14"/>
    <sheet name="Bcn Esquerra 2" sheetId="70" r:id="rId15"/>
    <sheet name="Vallés Oriental" sheetId="71" r:id="rId16"/>
    <sheet name="Vallès Occidental" sheetId="72" r:id="rId17"/>
    <sheet name="Baix Llobregat 2 Hospitalet" sheetId="73" r:id="rId18"/>
    <sheet name="Baix Llobregat 2 Sant Boi" sheetId="74" r:id="rId19"/>
    <sheet name="Tarrag i Baix P. Tgn" sheetId="75" r:id="rId20"/>
    <sheet name="Tarrag i Baix P. Vendrell" sheetId="76" r:id="rId21"/>
    <sheet name="Baix Camp - Priorat" sheetId="77" r:id="rId22"/>
  </sheets>
  <definedNames>
    <definedName name="_FilterDatabase" localSheetId="9" hidden="1">'Alt Maresme'!$B$9:$AB$35</definedName>
    <definedName name="_FilterDatabase" localSheetId="11" hidden="1">'Baix Llobregat 1'!$B$9:$AB$54</definedName>
    <definedName name="_FilterDatabase" localSheetId="13" hidden="1">'BBcn Dreta Litoral 2 Glòries'!$B$9:$AA$9</definedName>
    <definedName name="_FilterDatabase" localSheetId="12" hidden="1">'Bcn Dreta Litoral 2 Diagonal'!$B$9:$AA$9</definedName>
    <definedName name="_FilterDatabase" localSheetId="5" hidden="1">'Bcn Esquerra 1'!$B$9:$AB$36</definedName>
    <definedName name="_FilterDatabase" localSheetId="7" hidden="1">'Bcn Nord Nephros'!$B$9:$AB$35</definedName>
    <definedName name="_FilterDatabase" localSheetId="6" hidden="1">'Bcn Nord Rotellar'!$B$9:$AB$42</definedName>
    <definedName name="_FilterDatabase" localSheetId="8" hidden="1">'Bcnes Nord Bx Maresme'!$B$9:$AB$39</definedName>
    <definedName name="_FilterDatabase" localSheetId="2" hidden="1">BLLN!$B$9:$AA$9</definedName>
    <definedName name="_FilterDatabase" localSheetId="4" hidden="1">'Dr. Lit. 1 Palau'!$B$9:$AB$26</definedName>
    <definedName name="_FilterDatabase" localSheetId="3" hidden="1">'Dr. Lit. 1 VM'!$B$9:$AC$40</definedName>
    <definedName name="_FilterDatabase" localSheetId="0" hidden="1">'Lleida - Alt Pirineu'!$B$9:$AB$52</definedName>
    <definedName name="_FilterDatabase" localSheetId="10" hidden="1">'Maresme Central'!$B$9:$AB$37</definedName>
    <definedName name="_xlnm.Print_Area" localSheetId="9">'Alt Maresme'!$B$2:$AB$44</definedName>
    <definedName name="_xlnm.Print_Area" localSheetId="21">'Baix Camp - Priorat'!$B$2:$AB$70</definedName>
    <definedName name="_xlnm.Print_Area" localSheetId="11">'Baix Llobregat 1'!$B$2:$AB$66</definedName>
    <definedName name="_xlnm.Print_Area" localSheetId="17">'Baix Llobregat 2 Hospitalet'!$B$2:$AB$53</definedName>
    <definedName name="_xlnm.Print_Area" localSheetId="18">'Baix Llobregat 2 Sant Boi'!$B$2:$AB$68</definedName>
    <definedName name="_xlnm.Print_Area" localSheetId="13">'BBcn Dreta Litoral 2 Glòries'!$B$2:$AB$60</definedName>
    <definedName name="_xlnm.Print_Area" localSheetId="12">'Bcn Dreta Litoral 2 Diagonal'!$B$2:$AB$58</definedName>
    <definedName name="_xlnm.Print_Area" localSheetId="5">'Bcn Esquerra 1'!$B$2:$AB$46</definedName>
    <definedName name="_xlnm.Print_Area" localSheetId="14">'Bcn Esquerra 2'!$B$2:$AB$60</definedName>
    <definedName name="_xlnm.Print_Area" localSheetId="7">'Bcn Nord Nephros'!$B$2:$AB$44</definedName>
    <definedName name="_xlnm.Print_Area" localSheetId="6">'Bcn Nord Rotellar'!$B$2:$AB$52</definedName>
    <definedName name="_xlnm.Print_Area" localSheetId="8">'Bcnes Nord Bx Maresme'!$B$2:$AB$53</definedName>
    <definedName name="_xlnm.Print_Area" localSheetId="2">BLLN!$B$2:$AB$41</definedName>
    <definedName name="_xlnm.Print_Area" localSheetId="4">'Dr. Lit. 1 Palau'!$B$2:$AB$35</definedName>
    <definedName name="_xlnm.Print_Area" localSheetId="3">'Dr. Lit. 1 VM'!$B$2:$AB$50</definedName>
    <definedName name="_xlnm.Print_Area" localSheetId="0">'Lleida - Alt Pirineu'!$B$2:$AB$72</definedName>
    <definedName name="_xlnm.Print_Area" localSheetId="10">'Maresme Central'!$B$2:$AB$47</definedName>
    <definedName name="_xlnm.Print_Area" localSheetId="19">'Tarrag i Baix P. Tgn'!$B$2:$AB$58</definedName>
    <definedName name="_xlnm.Print_Area" localSheetId="20">'Tarrag i Baix P. Vendrell'!$B$2:$AB$50</definedName>
    <definedName name="_xlnm.Print_Area" localSheetId="1">'Terres de l''Ebre'!$B$2:$AB$57</definedName>
    <definedName name="_xlnm.Print_Area" localSheetId="16">'Vallès Occidental'!$B$2:$AB$68</definedName>
    <definedName name="_xlnm.Print_Area" localSheetId="15">'Vallés Oriental'!$B$2:$AB$69</definedName>
    <definedName name="Print_Area" localSheetId="9">'Alt Maresme'!$B$3:$AD$9</definedName>
    <definedName name="Print_Area" localSheetId="11">'Baix Llobregat 1'!$B$3:$AD$13</definedName>
    <definedName name="Print_Area" localSheetId="13">'BBcn Dreta Litoral 2 Glòries'!$B$3:$AD$62</definedName>
    <definedName name="Print_Area" localSheetId="12">'Bcn Dreta Litoral 2 Diagonal'!$B$3:$AD$60</definedName>
    <definedName name="Print_Area" localSheetId="5">'Bcn Esquerra 1'!$B$3:$AD$9</definedName>
    <definedName name="Print_Area" localSheetId="7">'Bcn Nord Nephros'!$B$3:$AD$9</definedName>
    <definedName name="Print_Area" localSheetId="6">'Bcn Nord Rotellar'!$B$3:$AD$9</definedName>
    <definedName name="Print_Area" localSheetId="8">'Bcnes Nord Bx Maresme'!$B$3:$AD$39</definedName>
    <definedName name="Print_Area" localSheetId="2">BLLN!$B$3:$AD$44</definedName>
    <definedName name="Print_Area" localSheetId="4">'Dr. Lit. 1 Palau'!$B$3:$AD$9</definedName>
    <definedName name="Print_Area" localSheetId="3">'Dr. Lit. 1 VM'!$B$3:$AD$9</definedName>
    <definedName name="Print_Area" localSheetId="0">'Lleida - Alt Pirineu'!$B$3:$AD$75</definedName>
    <definedName name="Print_Area" localSheetId="10">'Maresme Central'!$B$3:$AD$9</definedName>
  </definedNames>
  <calcPr calcId="162913"/>
</workbook>
</file>

<file path=xl/calcChain.xml><?xml version="1.0" encoding="utf-8"?>
<calcChain xmlns="http://schemas.openxmlformats.org/spreadsheetml/2006/main">
  <c r="R50" i="77" l="1"/>
  <c r="L50" i="77"/>
  <c r="K50" i="77"/>
  <c r="J50" i="77"/>
  <c r="I50" i="77"/>
  <c r="H50" i="77"/>
  <c r="F50" i="77"/>
  <c r="E50" i="77"/>
  <c r="D50" i="77"/>
  <c r="R30" i="76"/>
  <c r="L30" i="76"/>
  <c r="K30" i="76"/>
  <c r="J30" i="76"/>
  <c r="I30" i="76"/>
  <c r="H30" i="76"/>
  <c r="F30" i="76"/>
  <c r="E30" i="76"/>
  <c r="D30" i="76"/>
  <c r="R29" i="76"/>
  <c r="L29" i="76"/>
  <c r="K29" i="76"/>
  <c r="J29" i="76"/>
  <c r="I29" i="76"/>
  <c r="H29" i="76"/>
  <c r="F29" i="76"/>
  <c r="E29" i="76"/>
  <c r="D29" i="76"/>
  <c r="R36" i="75"/>
  <c r="L36" i="75"/>
  <c r="K36" i="75"/>
  <c r="J36" i="75"/>
  <c r="I36" i="75"/>
  <c r="H36" i="75"/>
  <c r="F36" i="75"/>
  <c r="E36" i="75"/>
  <c r="D36" i="75"/>
  <c r="R35" i="75"/>
  <c r="L35" i="75"/>
  <c r="K35" i="75"/>
  <c r="J35" i="75"/>
  <c r="I35" i="75"/>
  <c r="H35" i="75"/>
  <c r="F35" i="75"/>
  <c r="E35" i="75"/>
  <c r="D35" i="75"/>
  <c r="R48" i="74"/>
  <c r="L48" i="74"/>
  <c r="K48" i="74"/>
  <c r="J48" i="74"/>
  <c r="I48" i="74"/>
  <c r="H48" i="74"/>
  <c r="F48" i="74"/>
  <c r="E48" i="74"/>
  <c r="D48" i="74"/>
  <c r="R45" i="74"/>
  <c r="K45" i="74"/>
  <c r="J45" i="74"/>
  <c r="I45" i="74"/>
  <c r="H45" i="74"/>
  <c r="F45" i="74"/>
  <c r="D45" i="74"/>
  <c r="R33" i="73"/>
  <c r="L33" i="73"/>
  <c r="K33" i="73"/>
  <c r="J33" i="73"/>
  <c r="I33" i="73"/>
  <c r="H33" i="73"/>
  <c r="F33" i="73"/>
  <c r="E33" i="73"/>
  <c r="D33" i="73"/>
  <c r="R32" i="73"/>
  <c r="K32" i="73"/>
  <c r="J32" i="73"/>
  <c r="I32" i="73"/>
  <c r="H32" i="73"/>
  <c r="F32" i="73"/>
  <c r="D32" i="73"/>
  <c r="R48" i="72"/>
  <c r="L48" i="72"/>
  <c r="K48" i="72"/>
  <c r="J48" i="72"/>
  <c r="I48" i="72"/>
  <c r="H48" i="72"/>
  <c r="F48" i="72"/>
  <c r="E48" i="72"/>
  <c r="D48" i="72"/>
  <c r="R47" i="72"/>
  <c r="L47" i="72"/>
  <c r="K47" i="72"/>
  <c r="J47" i="72"/>
  <c r="I47" i="72"/>
  <c r="H47" i="72"/>
  <c r="F47" i="72"/>
  <c r="E47" i="72"/>
  <c r="D47" i="72"/>
  <c r="R47" i="71"/>
  <c r="L47" i="71"/>
  <c r="K47" i="71"/>
  <c r="J47" i="71"/>
  <c r="I47" i="71"/>
  <c r="H47" i="71"/>
  <c r="F47" i="71"/>
  <c r="E47" i="71"/>
  <c r="D47" i="71"/>
  <c r="R46" i="71"/>
  <c r="L46" i="71"/>
  <c r="K46" i="71"/>
  <c r="J46" i="71"/>
  <c r="I46" i="71"/>
  <c r="H46" i="71"/>
  <c r="F46" i="71"/>
  <c r="E46" i="71"/>
  <c r="D46" i="71"/>
  <c r="R40" i="70"/>
  <c r="L40" i="70"/>
  <c r="K40" i="70"/>
  <c r="J40" i="70"/>
  <c r="I40" i="70"/>
  <c r="H40" i="70"/>
  <c r="F40" i="70"/>
  <c r="E40" i="70"/>
  <c r="D40" i="70"/>
  <c r="R39" i="69"/>
  <c r="L39" i="69"/>
  <c r="K39" i="69"/>
  <c r="J39" i="69"/>
  <c r="I39" i="69"/>
  <c r="H39" i="69"/>
  <c r="F39" i="69"/>
  <c r="E39" i="69"/>
  <c r="D39" i="69"/>
  <c r="R39" i="68"/>
  <c r="L39" i="68"/>
  <c r="K39" i="68"/>
  <c r="J39" i="68"/>
  <c r="I39" i="68"/>
  <c r="H39" i="68"/>
  <c r="F39" i="68"/>
  <c r="E39" i="68"/>
  <c r="D39" i="68"/>
  <c r="K62" i="67"/>
  <c r="J62" i="67"/>
  <c r="J61" i="67"/>
  <c r="F60" i="67"/>
  <c r="J60" i="67" s="1"/>
  <c r="J59" i="67"/>
  <c r="F59" i="67"/>
  <c r="J58" i="67"/>
  <c r="F58" i="67"/>
  <c r="F57" i="67"/>
  <c r="J57" i="67" s="1"/>
  <c r="F56" i="67"/>
  <c r="J56" i="67" s="1"/>
  <c r="J55" i="67"/>
  <c r="F55" i="67"/>
  <c r="J54" i="67"/>
  <c r="F54" i="67"/>
  <c r="J53" i="67"/>
  <c r="J52" i="67"/>
  <c r="D51" i="67"/>
  <c r="J51" i="67" s="1"/>
  <c r="K51" i="67" s="1"/>
  <c r="J50" i="67"/>
  <c r="K50" i="67" s="1"/>
  <c r="I50" i="67"/>
  <c r="H50" i="67"/>
  <c r="D50" i="67"/>
  <c r="I49" i="67"/>
  <c r="H49" i="67"/>
  <c r="F49" i="67"/>
  <c r="E49" i="67"/>
  <c r="J49" i="67" s="1"/>
  <c r="K49" i="67" s="1"/>
  <c r="D49" i="67"/>
  <c r="I48" i="67"/>
  <c r="H48" i="67"/>
  <c r="F48" i="67"/>
  <c r="D48" i="67"/>
  <c r="J48" i="67" s="1"/>
  <c r="K48" i="67" s="1"/>
  <c r="I47" i="67"/>
  <c r="H47" i="67"/>
  <c r="F47" i="67"/>
  <c r="D47" i="67"/>
  <c r="J47" i="67" s="1"/>
  <c r="K47" i="67" s="1"/>
  <c r="J46" i="67"/>
  <c r="K46" i="67" s="1"/>
  <c r="I46" i="67"/>
  <c r="H46" i="67"/>
  <c r="F46" i="67"/>
  <c r="E46" i="67"/>
  <c r="D46" i="67"/>
  <c r="K45" i="67"/>
  <c r="J45" i="67"/>
  <c r="I45" i="67"/>
  <c r="H45" i="67"/>
  <c r="F45" i="67"/>
  <c r="E45" i="67"/>
  <c r="D45" i="67"/>
  <c r="I44" i="67"/>
  <c r="H44" i="67"/>
  <c r="F44" i="67"/>
  <c r="J44" i="67" s="1"/>
  <c r="K44" i="67" s="1"/>
  <c r="E44" i="67"/>
  <c r="D44" i="67"/>
  <c r="I43" i="67"/>
  <c r="H43" i="67"/>
  <c r="F43" i="67"/>
  <c r="E43" i="67"/>
  <c r="J43" i="67" s="1"/>
  <c r="K43" i="67" s="1"/>
  <c r="D43" i="67"/>
  <c r="I42" i="67"/>
  <c r="H42" i="67"/>
  <c r="F42" i="67"/>
  <c r="E42" i="67"/>
  <c r="D42" i="67"/>
  <c r="J42" i="67" s="1"/>
  <c r="K42" i="67" s="1"/>
  <c r="I41" i="67"/>
  <c r="H41" i="67"/>
  <c r="F41" i="67"/>
  <c r="E41" i="67"/>
  <c r="D41" i="67"/>
  <c r="J41" i="67" s="1"/>
  <c r="K41" i="67" s="1"/>
  <c r="I40" i="67"/>
  <c r="H40" i="67"/>
  <c r="F40" i="67"/>
  <c r="E40" i="67"/>
  <c r="D40" i="67"/>
  <c r="J40" i="67" s="1"/>
  <c r="K40" i="67" s="1"/>
  <c r="K39" i="67"/>
  <c r="J39" i="67"/>
  <c r="I39" i="67"/>
  <c r="H39" i="67"/>
  <c r="F39" i="67"/>
  <c r="E39" i="67"/>
  <c r="D39" i="67"/>
  <c r="J38" i="67"/>
  <c r="K38" i="67" s="1"/>
  <c r="I38" i="67"/>
  <c r="H38" i="67"/>
  <c r="F38" i="67"/>
  <c r="E38" i="67"/>
  <c r="D38" i="67"/>
  <c r="K37" i="67"/>
  <c r="J37" i="67"/>
  <c r="I37" i="67"/>
  <c r="H37" i="67"/>
  <c r="F37" i="67"/>
  <c r="E37" i="67"/>
  <c r="D37" i="67"/>
  <c r="I36" i="67"/>
  <c r="H36" i="67"/>
  <c r="F36" i="67"/>
  <c r="J36" i="67" s="1"/>
  <c r="K36" i="67" s="1"/>
  <c r="E36" i="67"/>
  <c r="D36" i="67"/>
  <c r="I35" i="67"/>
  <c r="H35" i="67"/>
  <c r="F35" i="67"/>
  <c r="E35" i="67"/>
  <c r="J35" i="67" s="1"/>
  <c r="K35" i="67" s="1"/>
  <c r="D35" i="67"/>
  <c r="I34" i="67"/>
  <c r="H34" i="67"/>
  <c r="F34" i="67"/>
  <c r="E34" i="67"/>
  <c r="D34" i="67"/>
  <c r="J34" i="67" s="1"/>
  <c r="K34" i="67" s="1"/>
  <c r="I33" i="67"/>
  <c r="H33" i="67"/>
  <c r="F33" i="67"/>
  <c r="E33" i="67"/>
  <c r="D33" i="67"/>
  <c r="J33" i="67" s="1"/>
  <c r="K33" i="67" s="1"/>
  <c r="I32" i="67"/>
  <c r="H32" i="67"/>
  <c r="F32" i="67"/>
  <c r="E32" i="67"/>
  <c r="D32" i="67"/>
  <c r="J32" i="67" s="1"/>
  <c r="K32" i="67" s="1"/>
  <c r="K31" i="67"/>
  <c r="J31" i="67"/>
  <c r="I31" i="67"/>
  <c r="H31" i="67"/>
  <c r="F31" i="67"/>
  <c r="E31" i="67"/>
  <c r="D31" i="67"/>
  <c r="J30" i="67"/>
  <c r="K30" i="67" s="1"/>
  <c r="I30" i="67"/>
  <c r="H30" i="67"/>
  <c r="F30" i="67"/>
  <c r="E30" i="67"/>
  <c r="D30" i="67"/>
  <c r="K29" i="67"/>
  <c r="J29" i="67"/>
  <c r="I29" i="67"/>
  <c r="H29" i="67"/>
  <c r="F29" i="67"/>
  <c r="E29" i="67"/>
  <c r="D29" i="67"/>
  <c r="I28" i="67"/>
  <c r="H28" i="67"/>
  <c r="F28" i="67"/>
  <c r="J28" i="67" s="1"/>
  <c r="K28" i="67" s="1"/>
  <c r="E28" i="67"/>
  <c r="D28" i="67"/>
  <c r="I27" i="67"/>
  <c r="H27" i="67"/>
  <c r="F27" i="67"/>
  <c r="E27" i="67"/>
  <c r="J27" i="67" s="1"/>
  <c r="K27" i="67" s="1"/>
  <c r="D27" i="67"/>
  <c r="I26" i="67"/>
  <c r="H26" i="67"/>
  <c r="F26" i="67"/>
  <c r="E26" i="67"/>
  <c r="D26" i="67"/>
  <c r="J26" i="67" s="1"/>
  <c r="K26" i="67" s="1"/>
  <c r="I25" i="67"/>
  <c r="H25" i="67"/>
  <c r="F25" i="67"/>
  <c r="D25" i="67"/>
  <c r="J25" i="67" s="1"/>
  <c r="K25" i="67" s="1"/>
  <c r="K24" i="67"/>
  <c r="J24" i="67"/>
  <c r="I24" i="67"/>
  <c r="H24" i="67"/>
  <c r="F24" i="67"/>
  <c r="E24" i="67"/>
  <c r="D24" i="67"/>
  <c r="J23" i="67"/>
  <c r="K23" i="67" s="1"/>
  <c r="I23" i="67"/>
  <c r="H23" i="67"/>
  <c r="F23" i="67"/>
  <c r="E23" i="67"/>
  <c r="D23" i="67"/>
  <c r="K22" i="67"/>
  <c r="J22" i="67"/>
  <c r="I22" i="67"/>
  <c r="H22" i="67"/>
  <c r="F22" i="67"/>
  <c r="E22" i="67"/>
  <c r="D22" i="67"/>
  <c r="I21" i="67"/>
  <c r="H21" i="67"/>
  <c r="F21" i="67"/>
  <c r="J21" i="67" s="1"/>
  <c r="K21" i="67" s="1"/>
  <c r="D21" i="67"/>
  <c r="I20" i="67"/>
  <c r="H20" i="67"/>
  <c r="F20" i="67"/>
  <c r="E20" i="67"/>
  <c r="D20" i="67"/>
  <c r="J20" i="67" s="1"/>
  <c r="K20" i="67" s="1"/>
  <c r="I19" i="67"/>
  <c r="H19" i="67"/>
  <c r="F19" i="67"/>
  <c r="E19" i="67"/>
  <c r="D19" i="67"/>
  <c r="J19" i="67" s="1"/>
  <c r="K19" i="67" s="1"/>
  <c r="I18" i="67"/>
  <c r="H18" i="67"/>
  <c r="F18" i="67"/>
  <c r="E18" i="67"/>
  <c r="D18" i="67"/>
  <c r="J18" i="67" s="1"/>
  <c r="K18" i="67" s="1"/>
  <c r="J17" i="67"/>
  <c r="K17" i="67" s="1"/>
  <c r="I17" i="67"/>
  <c r="H17" i="67"/>
  <c r="F17" i="67"/>
  <c r="E17" i="67"/>
  <c r="D17" i="67"/>
  <c r="J16" i="67"/>
  <c r="K16" i="67" s="1"/>
  <c r="I16" i="67"/>
  <c r="H16" i="67"/>
  <c r="F16" i="67"/>
  <c r="E16" i="67"/>
  <c r="D16" i="67"/>
  <c r="K15" i="67"/>
  <c r="J15" i="67"/>
  <c r="I15" i="67"/>
  <c r="H15" i="67"/>
  <c r="F15" i="67"/>
  <c r="E15" i="67"/>
  <c r="D15" i="67"/>
  <c r="F14" i="67"/>
  <c r="D14" i="67"/>
  <c r="J14" i="67" s="1"/>
  <c r="K14" i="67" s="1"/>
  <c r="I13" i="67"/>
  <c r="H13" i="67"/>
  <c r="F13" i="67"/>
  <c r="E13" i="67"/>
  <c r="D13" i="67"/>
  <c r="J13" i="67" s="1"/>
  <c r="K13" i="67" s="1"/>
  <c r="J12" i="67"/>
  <c r="K12" i="67" s="1"/>
  <c r="I12" i="67"/>
  <c r="H12" i="67"/>
  <c r="F12" i="67"/>
  <c r="E12" i="67"/>
  <c r="D12" i="67"/>
  <c r="J11" i="67"/>
  <c r="K11" i="67" s="1"/>
  <c r="I11" i="67"/>
  <c r="H11" i="67"/>
  <c r="F11" i="67"/>
  <c r="E11" i="67"/>
  <c r="D11" i="67"/>
  <c r="K10" i="67"/>
  <c r="J10" i="67"/>
  <c r="I10" i="67"/>
  <c r="H10" i="67"/>
  <c r="F10" i="67"/>
  <c r="E10" i="67"/>
  <c r="D10" i="67"/>
  <c r="K41" i="65"/>
  <c r="K40" i="65"/>
  <c r="J35" i="65"/>
  <c r="K35" i="65" s="1"/>
  <c r="I35" i="65"/>
  <c r="H35" i="65"/>
  <c r="K34" i="65"/>
  <c r="J34" i="65"/>
  <c r="I34" i="65"/>
  <c r="H34" i="65"/>
  <c r="J33" i="65"/>
  <c r="K33" i="65" s="1"/>
  <c r="I33" i="65"/>
  <c r="H33" i="65"/>
  <c r="K32" i="65"/>
  <c r="J32" i="65"/>
  <c r="I32" i="65"/>
  <c r="H32" i="65"/>
  <c r="J31" i="65"/>
  <c r="K31" i="65" s="1"/>
  <c r="I31" i="65"/>
  <c r="H31" i="65"/>
  <c r="K30" i="65"/>
  <c r="J30" i="65"/>
  <c r="I30" i="65"/>
  <c r="H30" i="65"/>
  <c r="J29" i="65"/>
  <c r="K29" i="65" s="1"/>
  <c r="I29" i="65"/>
  <c r="H29" i="65"/>
  <c r="K28" i="65"/>
  <c r="J28" i="65"/>
  <c r="I28" i="65"/>
  <c r="H28" i="65"/>
  <c r="J27" i="65"/>
  <c r="K27" i="65" s="1"/>
  <c r="I27" i="65"/>
  <c r="H27" i="65"/>
  <c r="K26" i="65"/>
  <c r="J26" i="65"/>
  <c r="I26" i="65"/>
  <c r="H26" i="65"/>
  <c r="J25" i="65"/>
  <c r="K25" i="65" s="1"/>
  <c r="I25" i="65"/>
  <c r="H25" i="65"/>
  <c r="K24" i="65"/>
  <c r="J24" i="65"/>
  <c r="I24" i="65"/>
  <c r="J23" i="65"/>
  <c r="K23" i="65" s="1"/>
  <c r="I23" i="65"/>
  <c r="K22" i="65"/>
  <c r="J22" i="65"/>
  <c r="I22" i="65"/>
  <c r="J21" i="65"/>
  <c r="K21" i="65" s="1"/>
  <c r="H21" i="65"/>
  <c r="I21" i="65" s="1"/>
  <c r="J20" i="65"/>
  <c r="K20" i="65" s="1"/>
  <c r="H20" i="65"/>
  <c r="I20" i="65" s="1"/>
  <c r="J19" i="65"/>
  <c r="K19" i="65" s="1"/>
  <c r="I19" i="65"/>
  <c r="J18" i="65"/>
  <c r="K18" i="65" s="1"/>
  <c r="I18" i="65"/>
  <c r="H18" i="65"/>
  <c r="K17" i="65"/>
  <c r="J17" i="65"/>
  <c r="I17" i="65"/>
  <c r="H17" i="65"/>
  <c r="J16" i="65"/>
  <c r="K16" i="65" s="1"/>
  <c r="I16" i="65"/>
  <c r="H16" i="65"/>
  <c r="K15" i="65"/>
  <c r="J15" i="65"/>
  <c r="I15" i="65"/>
  <c r="J14" i="65"/>
  <c r="K14" i="65" s="1"/>
  <c r="H14" i="65"/>
  <c r="I14" i="65" s="1"/>
  <c r="J13" i="65"/>
  <c r="K13" i="65" s="1"/>
  <c r="I13" i="65"/>
  <c r="K12" i="65"/>
  <c r="H12" i="65"/>
  <c r="I12" i="65" s="1"/>
  <c r="J11" i="65"/>
  <c r="K11" i="65" s="1"/>
  <c r="H11" i="65"/>
  <c r="I11" i="65" s="1"/>
  <c r="K10" i="65"/>
  <c r="I10" i="65"/>
  <c r="F10" i="65"/>
  <c r="J41" i="58" l="1"/>
  <c r="K41" i="58" s="1"/>
</calcChain>
</file>

<file path=xl/sharedStrings.xml><?xml version="1.0" encoding="utf-8"?>
<sst xmlns="http://schemas.openxmlformats.org/spreadsheetml/2006/main" count="5965" uniqueCount="591">
  <si>
    <t xml:space="preserve"> </t>
  </si>
  <si>
    <t>Retribució variable anual</t>
  </si>
  <si>
    <t>Conveni col·lectiu d'aplicació</t>
  </si>
  <si>
    <t>Tipus de contracte</t>
  </si>
  <si>
    <t>Data antiguitat</t>
  </si>
  <si>
    <t>Data venciment contracte</t>
  </si>
  <si>
    <t>Codi grup professional</t>
  </si>
  <si>
    <t>Pactes en vigor</t>
  </si>
  <si>
    <t>Actes pendents d’execució de la Inspecció de Treball</t>
  </si>
  <si>
    <t>Observacions</t>
  </si>
  <si>
    <t>Retribució total per tots els conceptes</t>
  </si>
  <si>
    <t>Motiu contractual</t>
  </si>
  <si>
    <t>Identificació de l’entitat:</t>
  </si>
  <si>
    <t>1. INFORMACIÓ DE PLANTILLA (personal amb contracte laboral):</t>
  </si>
  <si>
    <t>Detall dels conceptes fora de conveni</t>
  </si>
  <si>
    <t>Import Paga extra nadal</t>
  </si>
  <si>
    <t>Objectius relacionats amb la retribució variable</t>
  </si>
  <si>
    <t>2. INFORMACIÓ D'ALTRES PROFESSIONALS (personal absent per qualsevol permís o llicència amb reserva de lloc de treball i el personal amb excedència voluntària):</t>
  </si>
  <si>
    <t>Import paga extra estiu</t>
  </si>
  <si>
    <t>Centre de treball:</t>
  </si>
  <si>
    <t xml:space="preserve">Lot territorial:  </t>
  </si>
  <si>
    <t xml:space="preserve">Retribució fixa anual mínima de conveni </t>
  </si>
  <si>
    <r>
      <t>Retribució per sobre del conveni (</t>
    </r>
    <r>
      <rPr>
        <b/>
        <i/>
        <sz val="8"/>
        <color rgb="FF000000"/>
        <rFont val="Calibri"/>
        <family val="2"/>
        <scheme val="minor"/>
      </rPr>
      <t>quantiatat anual)</t>
    </r>
  </si>
  <si>
    <t>Cost social total anual (amb Seguretat Social)</t>
  </si>
  <si>
    <t>Jornada anual contractada de forma estructural (s'indica % jornada)</t>
  </si>
  <si>
    <t>Jornada efectivament realitzada (s'indica % jornada)</t>
  </si>
  <si>
    <t>Fi de la contractació, ampliació o reducció  (data fi prevista)</t>
  </si>
  <si>
    <t>Categoria professional / Grup-nivell conveni</t>
  </si>
  <si>
    <t xml:space="preserve">Professional amb incidència 
</t>
  </si>
  <si>
    <t>Abonaments amb salaris pendents</t>
  </si>
  <si>
    <r>
      <t>Litigis pendents</t>
    </r>
    <r>
      <rPr>
        <b/>
        <sz val="10.4"/>
        <color rgb="FF000000"/>
        <rFont val="Calibri"/>
        <family val="2"/>
      </rPr>
      <t xml:space="preserve"> </t>
    </r>
  </si>
  <si>
    <r>
      <t>Ajornaments autoritzats i manques de pagament a la Seguretat Social</t>
    </r>
    <r>
      <rPr>
        <b/>
        <vertAlign val="superscript"/>
        <sz val="8"/>
        <rFont val="Calibri"/>
        <family val="2"/>
        <scheme val="minor"/>
      </rPr>
      <t xml:space="preserve"> </t>
    </r>
  </si>
  <si>
    <t>Data recollida informació:</t>
  </si>
  <si>
    <t>DIAVERUM SERVICIOS RENALES</t>
  </si>
  <si>
    <t>Lot Dreta Litoral 1</t>
  </si>
  <si>
    <t>Centre de dialisi Verge de Montserrat</t>
  </si>
  <si>
    <t>si</t>
  </si>
  <si>
    <t>plus actividad, plus voluntario, incentivos, actividad, gratificacion voluntaria, horas extra</t>
  </si>
  <si>
    <t>Horas extras, calidad, actividad</t>
  </si>
  <si>
    <t>15/02/1982</t>
  </si>
  <si>
    <t>AUX. CLINICA</t>
  </si>
  <si>
    <t>4.2</t>
  </si>
  <si>
    <t>jornada anual 1700 horas (no 1734)</t>
  </si>
  <si>
    <t>no</t>
  </si>
  <si>
    <t>26/08/2003</t>
  </si>
  <si>
    <t>02/11/2006</t>
  </si>
  <si>
    <t>MÉDICO</t>
  </si>
  <si>
    <t>1.2</t>
  </si>
  <si>
    <t>01/09/2009</t>
  </si>
  <si>
    <t>24/05/1991</t>
  </si>
  <si>
    <t>ATS-DUE</t>
  </si>
  <si>
    <t>2.2</t>
  </si>
  <si>
    <t>17/11/1999</t>
  </si>
  <si>
    <t>AUX ADTVO</t>
  </si>
  <si>
    <t>8.2</t>
  </si>
  <si>
    <t>01/03/2004</t>
  </si>
  <si>
    <t>02/01/2010</t>
  </si>
  <si>
    <t>LIMPIADOR/A</t>
  </si>
  <si>
    <t>10.2</t>
  </si>
  <si>
    <t>02/07/2001</t>
  </si>
  <si>
    <t>05/04/2011</t>
  </si>
  <si>
    <t>DIR MEDICA</t>
  </si>
  <si>
    <t>02/01/2012</t>
  </si>
  <si>
    <t>03/08/2009</t>
  </si>
  <si>
    <t>11/12/2013</t>
  </si>
  <si>
    <t>AUX FARMACIA</t>
  </si>
  <si>
    <t>26/01/2016</t>
  </si>
  <si>
    <t>08/10/1986</t>
  </si>
  <si>
    <t>SUPERVISIÓN</t>
  </si>
  <si>
    <t>04/02/2008</t>
  </si>
  <si>
    <t>10/12/2018</t>
  </si>
  <si>
    <t>TCO. MANTENIMIENTO</t>
  </si>
  <si>
    <t>8.1</t>
  </si>
  <si>
    <t>10/04/2019</t>
  </si>
  <si>
    <t>MED NEFROLOGO</t>
  </si>
  <si>
    <t>08/07/2020</t>
  </si>
  <si>
    <t>10.1</t>
  </si>
  <si>
    <t>15/02/2021</t>
  </si>
  <si>
    <t>2.1</t>
  </si>
  <si>
    <t>01/04/2021</t>
  </si>
  <si>
    <t>01/06/2021</t>
  </si>
  <si>
    <t>4.1</t>
  </si>
  <si>
    <t>01/02/2022</t>
  </si>
  <si>
    <t>02/11/2022</t>
  </si>
  <si>
    <t>01/01/2023</t>
  </si>
  <si>
    <t>17/04/2023</t>
  </si>
  <si>
    <t>16/06/2023</t>
  </si>
  <si>
    <t>28/12/2023</t>
  </si>
  <si>
    <t>11/03/2024</t>
  </si>
  <si>
    <t>1.1</t>
  </si>
  <si>
    <t>AUTONOMO</t>
  </si>
  <si>
    <t>Centre de Dialisi Palau</t>
  </si>
  <si>
    <t>04/01/1988</t>
  </si>
  <si>
    <t>01/10/2012</t>
  </si>
  <si>
    <t>04/01/2013</t>
  </si>
  <si>
    <t>09/06/1986</t>
  </si>
  <si>
    <t>01/04/2017</t>
  </si>
  <si>
    <t>01/09/2017</t>
  </si>
  <si>
    <t>16/08/2017</t>
  </si>
  <si>
    <t>MED ENDOCRINO (NUTRICIONISTA)</t>
  </si>
  <si>
    <t>01/08/2018</t>
  </si>
  <si>
    <t>9.1</t>
  </si>
  <si>
    <t>03/02/2020</t>
  </si>
  <si>
    <t>NUTRICIONISTA</t>
  </si>
  <si>
    <t>10/02/2021</t>
  </si>
  <si>
    <t>15/11/2021</t>
  </si>
  <si>
    <t>13/12/2021</t>
  </si>
  <si>
    <t>01/08/2022</t>
  </si>
  <si>
    <t>24/07/2023</t>
  </si>
  <si>
    <t>14/03/2023</t>
  </si>
  <si>
    <t>NEFRÓLOGO</t>
  </si>
  <si>
    <t>Lot Barcelona Esquerra 1</t>
  </si>
  <si>
    <t>Institut Hemodialisi Barcelona</t>
  </si>
  <si>
    <t>15/12/2008</t>
  </si>
  <si>
    <t>01/11/2007</t>
  </si>
  <si>
    <t>10/09/2007</t>
  </si>
  <si>
    <t>01/05/2009</t>
  </si>
  <si>
    <t>03/03/2008</t>
  </si>
  <si>
    <t>02/07/2007</t>
  </si>
  <si>
    <t>22/03/1999</t>
  </si>
  <si>
    <t>07/12/1982</t>
  </si>
  <si>
    <t>01/12/2009</t>
  </si>
  <si>
    <t>17/06/2015</t>
  </si>
  <si>
    <t>04/12/2015</t>
  </si>
  <si>
    <t>01/04/2016</t>
  </si>
  <si>
    <t>15/03/2018</t>
  </si>
  <si>
    <t>15/01/1979</t>
  </si>
  <si>
    <t>DIR CLINICA</t>
  </si>
  <si>
    <t>6.2</t>
  </si>
  <si>
    <t>14/12/2015</t>
  </si>
  <si>
    <t>11/10/2021</t>
  </si>
  <si>
    <t>08/06/2022</t>
  </si>
  <si>
    <t>TRABAJO SOCIAL</t>
  </si>
  <si>
    <t>15/06/2022</t>
  </si>
  <si>
    <t>01/07/2022</t>
  </si>
  <si>
    <t>02/05/2023</t>
  </si>
  <si>
    <t>15/11/2023</t>
  </si>
  <si>
    <t>01/02/2024</t>
  </si>
  <si>
    <t>05/04/2024</t>
  </si>
  <si>
    <t>27/05/2024</t>
  </si>
  <si>
    <t>31/10/2024</t>
  </si>
  <si>
    <t>01/12/2001</t>
  </si>
  <si>
    <t>08/11/1991</t>
  </si>
  <si>
    <t>Lot Barcelona Nord</t>
  </si>
  <si>
    <t>Centre de Dialisi Rotellar</t>
  </si>
  <si>
    <t>01/09/2023</t>
  </si>
  <si>
    <t>jornada anual 1650 horas (no 1734)</t>
  </si>
  <si>
    <t>09/10/1995</t>
  </si>
  <si>
    <t>06/05/2002</t>
  </si>
  <si>
    <t>01/10/1990</t>
  </si>
  <si>
    <t>24/08/1978</t>
  </si>
  <si>
    <t>16/01/1989</t>
  </si>
  <si>
    <t>13/10/1992</t>
  </si>
  <si>
    <t>02/02/2009</t>
  </si>
  <si>
    <t>23/10/1989</t>
  </si>
  <si>
    <t>11/11/1980</t>
  </si>
  <si>
    <t>01/04/2009</t>
  </si>
  <si>
    <t>07/10/2002</t>
  </si>
  <si>
    <t>14/02/2011</t>
  </si>
  <si>
    <t>25/10/2013</t>
  </si>
  <si>
    <t>27/12/2005</t>
  </si>
  <si>
    <t>16/12/2015</t>
  </si>
  <si>
    <t>06/09/2017</t>
  </si>
  <si>
    <t>16/10/2006</t>
  </si>
  <si>
    <t>14/12/2017</t>
  </si>
  <si>
    <t>04/06/2018</t>
  </si>
  <si>
    <t>05/10/2018</t>
  </si>
  <si>
    <t>11/06/2020</t>
  </si>
  <si>
    <t>15/02/2022</t>
  </si>
  <si>
    <t>01/03/2022</t>
  </si>
  <si>
    <t>19/04/2022</t>
  </si>
  <si>
    <t>PSICOLOGO</t>
  </si>
  <si>
    <t>10/08/2022</t>
  </si>
  <si>
    <t>22/08/2022</t>
  </si>
  <si>
    <t>Centre de Dialisi Nephros</t>
  </si>
  <si>
    <t>29/11/2005</t>
  </si>
  <si>
    <t>09/12/2008</t>
  </si>
  <si>
    <t>02/06/2000</t>
  </si>
  <si>
    <t>15/06/2009</t>
  </si>
  <si>
    <t>06/02/2007</t>
  </si>
  <si>
    <t>07/01/2008</t>
  </si>
  <si>
    <t>01/07/2008</t>
  </si>
  <si>
    <t>01/03/2008</t>
  </si>
  <si>
    <t>02/11/2015</t>
  </si>
  <si>
    <t>14/10/2010</t>
  </si>
  <si>
    <t>01/10/2016</t>
  </si>
  <si>
    <t>01/12/2000</t>
  </si>
  <si>
    <t>15/08/2017</t>
  </si>
  <si>
    <t>04/12/2017</t>
  </si>
  <si>
    <t>01/09/2018</t>
  </si>
  <si>
    <t>01/01/2020</t>
  </si>
  <si>
    <t>20/01/2020</t>
  </si>
  <si>
    <t>10/08/2020</t>
  </si>
  <si>
    <t>14/03/2022</t>
  </si>
  <si>
    <t>25/05/2022</t>
  </si>
  <si>
    <t>01/12/1977</t>
  </si>
  <si>
    <t>20/12/2022</t>
  </si>
  <si>
    <t>15/02/2023</t>
  </si>
  <si>
    <t>08/04/2024</t>
  </si>
  <si>
    <t>06/10/2023</t>
  </si>
  <si>
    <t>31/05/2024</t>
  </si>
  <si>
    <t>OFICIOS DIVERSOS</t>
  </si>
  <si>
    <t>MEDICO</t>
  </si>
  <si>
    <t>Lot Barcelonès Nord Baix Maresme</t>
  </si>
  <si>
    <t>Institut Mèdic Badalona</t>
  </si>
  <si>
    <t>01/11/1999</t>
  </si>
  <si>
    <t>15/01/2001</t>
  </si>
  <si>
    <t>26/02/2001</t>
  </si>
  <si>
    <t>15/10/2001</t>
  </si>
  <si>
    <t>01/09/2005</t>
  </si>
  <si>
    <t>13/09/2006</t>
  </si>
  <si>
    <t>01/01/2007</t>
  </si>
  <si>
    <t>21/09/2007</t>
  </si>
  <si>
    <t>18/10/2007</t>
  </si>
  <si>
    <t>01/03/2007</t>
  </si>
  <si>
    <t>03/09/2001</t>
  </si>
  <si>
    <t>16/10/1978</t>
  </si>
  <si>
    <t>21/02/2001</t>
  </si>
  <si>
    <t>30/07/2016</t>
  </si>
  <si>
    <t>13/09/2016</t>
  </si>
  <si>
    <t>RESP MANTENIMIENTO</t>
  </si>
  <si>
    <t>25/06/2019</t>
  </si>
  <si>
    <t>01/11/2019</t>
  </si>
  <si>
    <t>17/03/2020</t>
  </si>
  <si>
    <t>30/06/2020</t>
  </si>
  <si>
    <t>03/04/1979</t>
  </si>
  <si>
    <t>14/12/2020</t>
  </si>
  <si>
    <t>22/06/2021</t>
  </si>
  <si>
    <t>27/04/2022</t>
  </si>
  <si>
    <t>16/05/2022</t>
  </si>
  <si>
    <t>13/06/2022</t>
  </si>
  <si>
    <t>30/10/2022</t>
  </si>
  <si>
    <t>01/01/2024</t>
  </si>
  <si>
    <t>19/04/2024</t>
  </si>
  <si>
    <t>01/05/2024</t>
  </si>
  <si>
    <t>06/05/2024</t>
  </si>
  <si>
    <t>15/07/2024</t>
  </si>
  <si>
    <t>Lot Alt Maresme</t>
  </si>
  <si>
    <t>Centre de Dialisi Maresme</t>
  </si>
  <si>
    <t>09/04/2001</t>
  </si>
  <si>
    <t>01/01/2001</t>
  </si>
  <si>
    <t>15/05/2004</t>
  </si>
  <si>
    <t>01/03/2013</t>
  </si>
  <si>
    <t>9.2</t>
  </si>
  <si>
    <t>28/04/2014</t>
  </si>
  <si>
    <t>14/05/2014</t>
  </si>
  <si>
    <t>01/06/2014</t>
  </si>
  <si>
    <t>01/12/2014</t>
  </si>
  <si>
    <t>22/07/2015</t>
  </si>
  <si>
    <t>27/02/2017</t>
  </si>
  <si>
    <t>01/08/2017</t>
  </si>
  <si>
    <t>12/02/2018</t>
  </si>
  <si>
    <t>23/04/2019</t>
  </si>
  <si>
    <t>22/06/2020</t>
  </si>
  <si>
    <t>11/05/2021</t>
  </si>
  <si>
    <t>09/12/2021</t>
  </si>
  <si>
    <t>22/09/2022</t>
  </si>
  <si>
    <t>17/10/2022</t>
  </si>
  <si>
    <t>25/11/2022</t>
  </si>
  <si>
    <t>06/03/2023</t>
  </si>
  <si>
    <t>17/09/2023</t>
  </si>
  <si>
    <t>22/04/2024</t>
  </si>
  <si>
    <t>21/05/2024</t>
  </si>
  <si>
    <t>29/10/2024</t>
  </si>
  <si>
    <t>26/02/2024</t>
  </si>
  <si>
    <t>Lot Maresme Central</t>
  </si>
  <si>
    <t>Centre de Dialisi Mataró</t>
  </si>
  <si>
    <t>01/10/2002</t>
  </si>
  <si>
    <t>01/01/1991</t>
  </si>
  <si>
    <t>01/06/2007</t>
  </si>
  <si>
    <t>01/11/1989</t>
  </si>
  <si>
    <t>01/08/1986</t>
  </si>
  <si>
    <t>10/12/2007</t>
  </si>
  <si>
    <t>01/10/2006</t>
  </si>
  <si>
    <t>10/10/2000</t>
  </si>
  <si>
    <t>01/10/2001</t>
  </si>
  <si>
    <t>11/06/2003</t>
  </si>
  <si>
    <t>01/04/2011</t>
  </si>
  <si>
    <t>27/01/2009</t>
  </si>
  <si>
    <t>24/04/2017</t>
  </si>
  <si>
    <t>14/05/2018</t>
  </si>
  <si>
    <t>01/06/2018</t>
  </si>
  <si>
    <t>10/06/2019</t>
  </si>
  <si>
    <t>11/03/2021</t>
  </si>
  <si>
    <t>17/03/2009</t>
  </si>
  <si>
    <t>11/07/2022</t>
  </si>
  <si>
    <t>09/11/2022</t>
  </si>
  <si>
    <t>20/02/2023</t>
  </si>
  <si>
    <t>15/04/2024</t>
  </si>
  <si>
    <t>Lot Baix Llobregat 1</t>
  </si>
  <si>
    <t>Centre de Dialisi Baix Llobregat</t>
  </si>
  <si>
    <t>Voluntario, objetivos</t>
  </si>
  <si>
    <t>01/01/2004</t>
  </si>
  <si>
    <t>CONTABILIDAD</t>
  </si>
  <si>
    <t>7.2</t>
  </si>
  <si>
    <t>jornada anual 1715 horas (no 1734)</t>
  </si>
  <si>
    <t>TECNICO CONTABILIDAD</t>
  </si>
  <si>
    <t>Voluntario, objetivos, bonos</t>
  </si>
  <si>
    <t>calidad, beneficios, objetivos personales</t>
  </si>
  <si>
    <t>18/12/1987</t>
  </si>
  <si>
    <t>RESP FORMACION (CALIDAD)</t>
  </si>
  <si>
    <t>RESP CALIDAD</t>
  </si>
  <si>
    <t>13/07/2009</t>
  </si>
  <si>
    <t>17/05/2016</t>
  </si>
  <si>
    <t>AREA MANAGER</t>
  </si>
  <si>
    <t>15/02/2024</t>
  </si>
  <si>
    <t>01/04/2006</t>
  </si>
  <si>
    <t>16/01/2006</t>
  </si>
  <si>
    <t>FARMACEUTICA</t>
  </si>
  <si>
    <t>20/11/2008</t>
  </si>
  <si>
    <t>ADMINISTRACION</t>
  </si>
  <si>
    <t>19/11/2007</t>
  </si>
  <si>
    <t>01/11/1991</t>
  </si>
  <si>
    <t>MOZO ALMACEN</t>
  </si>
  <si>
    <t>01/09/1997</t>
  </si>
  <si>
    <t>20/11/2000</t>
  </si>
  <si>
    <t>01/05/2007</t>
  </si>
  <si>
    <t>04/08/2008</t>
  </si>
  <si>
    <t>01/04/1992</t>
  </si>
  <si>
    <t>01/11/2006</t>
  </si>
  <si>
    <t>01/04/1989</t>
  </si>
  <si>
    <t>21/11/2007</t>
  </si>
  <si>
    <t>13/03/2013</t>
  </si>
  <si>
    <t>18/08/2008</t>
  </si>
  <si>
    <t>01/05/2016</t>
  </si>
  <si>
    <t>03/07/2017</t>
  </si>
  <si>
    <t>01/04/2008</t>
  </si>
  <si>
    <t>09/08/2017</t>
  </si>
  <si>
    <t>23/09/2019</t>
  </si>
  <si>
    <t>21/09/2020</t>
  </si>
  <si>
    <t>25/09/2020</t>
  </si>
  <si>
    <t>03/06/2021</t>
  </si>
  <si>
    <t>18/10/2021</t>
  </si>
  <si>
    <t>16/12/2019</t>
  </si>
  <si>
    <t>20/12/2021</t>
  </si>
  <si>
    <t>04/04/2023</t>
  </si>
  <si>
    <t>12/06/2023</t>
  </si>
  <si>
    <t>RESP FARMACIA</t>
  </si>
  <si>
    <t>14/11/2023</t>
  </si>
  <si>
    <t>29/01/2024</t>
  </si>
  <si>
    <t>10/05/2024</t>
  </si>
  <si>
    <t>22/05/2024</t>
  </si>
  <si>
    <t>23/07/2019</t>
  </si>
  <si>
    <t xml:space="preserve">Lot territorial: </t>
  </si>
  <si>
    <t>El professional treballa en un altre lot?</t>
  </si>
  <si>
    <t>01/10/2024</t>
  </si>
  <si>
    <t>09/10/2024</t>
  </si>
  <si>
    <t>07/10/2024</t>
  </si>
  <si>
    <t>06/01/2025</t>
  </si>
  <si>
    <t>21/10/2024</t>
  </si>
  <si>
    <t>11/11/2024</t>
  </si>
  <si>
    <t>30/10/2024</t>
  </si>
  <si>
    <t>01/08/2024</t>
  </si>
  <si>
    <t>01/01/2008</t>
  </si>
  <si>
    <t>03/12/2009</t>
  </si>
  <si>
    <t>16/09/2024</t>
  </si>
  <si>
    <t>18/10/2024</t>
  </si>
  <si>
    <t>02/09/2024</t>
  </si>
  <si>
    <t>01/07/2024</t>
  </si>
  <si>
    <t>B.BRAUN AVITUM SERVICIOS RENALES, S.A.U.</t>
  </si>
  <si>
    <t>Baix Llobregat Nord</t>
  </si>
  <si>
    <t>CENTRE DE DIÀLISI DE MARTORELL</t>
  </si>
  <si>
    <t>NO</t>
  </si>
  <si>
    <t>Conveni Col·lectiu de treball d'estrabliments sanitaris d'hospitalització, assistència, consulta i laboratoris d'anàlisis clíniques.</t>
  </si>
  <si>
    <t>00100</t>
  </si>
  <si>
    <t>Indefinido</t>
  </si>
  <si>
    <t>Enfermero/a</t>
  </si>
  <si>
    <t>TCAE</t>
  </si>
  <si>
    <t>Director/a Médico/a</t>
  </si>
  <si>
    <t>Enfermero/a Supervisor/a</t>
  </si>
  <si>
    <t>CUME</t>
  </si>
  <si>
    <t>Limpiador/a</t>
  </si>
  <si>
    <t>Médico/a Nefrólogo/a</t>
  </si>
  <si>
    <t>Auxiliar Administrativo/a</t>
  </si>
  <si>
    <t>Interinidad</t>
  </si>
  <si>
    <t>Médico nefrólogo</t>
  </si>
  <si>
    <t>Baja excedencia cuidado hijos</t>
  </si>
  <si>
    <t>Excedencia Voluntaria</t>
  </si>
  <si>
    <t>GESTIO SANITARIA I ASSISTENCIAL TORTOSA, SAM</t>
  </si>
  <si>
    <t xml:space="preserve">Terres de l'Ebre </t>
  </si>
  <si>
    <t>Tortosa</t>
  </si>
  <si>
    <t>Retribució fixa anual mínima de conveni (incorpora paga extra)</t>
  </si>
  <si>
    <t>Retribució variable anual (incorpora paga extra)</t>
  </si>
  <si>
    <t>Retribució per sobre del conveni (quantiatat anual) (incorpora paga extra)</t>
  </si>
  <si>
    <t xml:space="preserve">Litigis pendents </t>
  </si>
  <si>
    <t xml:space="preserve">Ajornaments autoritzats i manques de pagament a la Seguretat Social </t>
  </si>
  <si>
    <t>SISCAT</t>
  </si>
  <si>
    <t>100</t>
  </si>
  <si>
    <t>Diplomats Assistencials</t>
  </si>
  <si>
    <t>Grup 2.2</t>
  </si>
  <si>
    <t>189</t>
  </si>
  <si>
    <t>200</t>
  </si>
  <si>
    <t>Facultatius</t>
  </si>
  <si>
    <t>Grup 1.2</t>
  </si>
  <si>
    <t>Personal Sanitari Gestió i Serveis</t>
  </si>
  <si>
    <t>Grup 7</t>
  </si>
  <si>
    <t>441</t>
  </si>
  <si>
    <t>410</t>
  </si>
  <si>
    <t>Formació professional de grau mitjà</t>
  </si>
  <si>
    <t>Grup 3.1</t>
  </si>
  <si>
    <t>Administratiu</t>
  </si>
  <si>
    <t>Grup 6.1.2</t>
  </si>
  <si>
    <t>LLEIDA</t>
  </si>
  <si>
    <t>MILLORA VOLUNTARIA /DIRECCIO OBJECTIUS/A COMPTE CONVENI</t>
  </si>
  <si>
    <t>individuals</t>
  </si>
  <si>
    <t>INDEFINIT</t>
  </si>
  <si>
    <t>DUE (NIVELL 2)</t>
  </si>
  <si>
    <t>MILLORA VOLUNTARIA /A COMPTE CONVENI</t>
  </si>
  <si>
    <t>DUE (NIVELL 1)</t>
  </si>
  <si>
    <t>NEFROLOGA/PLUS VOL.ABS./PLUS DIRECCION/A COMPTE CONVENI/ BONUS PRODUCTIVITAT</t>
  </si>
  <si>
    <t>07/01/1997</t>
  </si>
  <si>
    <t>METGE (NIVELL 2)</t>
  </si>
  <si>
    <t>13/01/2021</t>
  </si>
  <si>
    <t>PLUS VOL.ABS.</t>
  </si>
  <si>
    <t>AUXILIAR INFERMERÍA (NIVELL 1)</t>
  </si>
  <si>
    <t>MILLORA VOLUNTARIA/A COMPTE CONVENI</t>
  </si>
  <si>
    <t>21/01/2011</t>
  </si>
  <si>
    <t>NETEJADORA (NIVELL 2)</t>
  </si>
  <si>
    <t>MILLORA VOLUNTARIA /DIRECCIO OBJECTIUS/A COMPTE CONVENI/BONUS PRODUCTI</t>
  </si>
  <si>
    <t>25/06/2007</t>
  </si>
  <si>
    <t>PLUS VOL.ABS./EXCLUSIVIDAD/A COMPTE CONVENI/BONUS PRODUCTIVITAT</t>
  </si>
  <si>
    <t>01/10/2008</t>
  </si>
  <si>
    <t>13/05/2024</t>
  </si>
  <si>
    <t>19/08/2006</t>
  </si>
  <si>
    <t>AUXILIAR INFERMERÍA (NIVELL 2)</t>
  </si>
  <si>
    <t>01/04/2007</t>
  </si>
  <si>
    <t>PLUS VOL.ABS./OTRAS PARTIDAS CONTRAC./A COMPTE CONVENI/BONUS PRODUCTIVITAT</t>
  </si>
  <si>
    <t>01/11/2022</t>
  </si>
  <si>
    <t>METGE(NIVEL 2)</t>
  </si>
  <si>
    <t>14/01/2013</t>
  </si>
  <si>
    <t>23/02/1994</t>
  </si>
  <si>
    <t>01/08/2021</t>
  </si>
  <si>
    <t>NETEJADORA (NIVELL1)</t>
  </si>
  <si>
    <t xml:space="preserve">VOLUNT.ABSO/PLUS DISPONIBILIDAD/EXCLUSIVIDAD/PERMANENCIA I NO COMP. </t>
  </si>
  <si>
    <t>17/01/2023</t>
  </si>
  <si>
    <t>AUXILIAR SANITARI (NIVELL 2)</t>
  </si>
  <si>
    <t>MILLORA VOLUNTARIA /DIRECCIO OBJECTIUS/A COMPTE CONVENI/PACTE PERMANENCIA</t>
  </si>
  <si>
    <t>23/03/2022</t>
  </si>
  <si>
    <t>01/10/2005</t>
  </si>
  <si>
    <t>23/04/2009</t>
  </si>
  <si>
    <t>03/10/2022</t>
  </si>
  <si>
    <t>03/01/2022</t>
  </si>
  <si>
    <t>MILLORA VOLUNTARIA /DIRECCIO OBJECTIUS/A COMPTE CONVENI/PLUS PRODUC./BONUS PROD</t>
  </si>
  <si>
    <t>01/10/2017</t>
  </si>
  <si>
    <t>01/12/2006</t>
  </si>
  <si>
    <t>18/11/1996</t>
  </si>
  <si>
    <t>VOLUNT.ABSO/PLUS DISPONIBILIDAD/EXCLUSIVIDAD/PERMANENCIA I NO COMP./A COMPTE COVV. /</t>
  </si>
  <si>
    <t>AUXILIAR SANITARI(NIVELL 2)</t>
  </si>
  <si>
    <t>MILLORA VOLUNTARIA /PLUS PRODUCCIO/A COMPTE CONVENI</t>
  </si>
  <si>
    <t>05/04/2023</t>
  </si>
  <si>
    <t>15/10/2020</t>
  </si>
  <si>
    <t>09/06/2020</t>
  </si>
  <si>
    <t>03/05/2004</t>
  </si>
  <si>
    <t>26/11/2006</t>
  </si>
  <si>
    <t>01/02/1996</t>
  </si>
  <si>
    <t>PLUS ADICIONAL/PLUS ACTIVITAT/SUPERVISIO/PLUS DIRECCIO/A COMPTE CONVENI/BONUS PRODC</t>
  </si>
  <si>
    <t>11/04/1997</t>
  </si>
  <si>
    <t>01/06/2020</t>
  </si>
  <si>
    <t>01/07/2015</t>
  </si>
  <si>
    <t>01/01/2009</t>
  </si>
  <si>
    <t>PLUS VOLUNTARI ABS./A COMPTE CONVENI</t>
  </si>
  <si>
    <t>01/01/1993</t>
  </si>
  <si>
    <t>DIRECTIU</t>
  </si>
  <si>
    <t>VOLUNT.ABS.</t>
  </si>
  <si>
    <t>METGE ( NIVELL2)</t>
  </si>
  <si>
    <t>profesional subcontratat</t>
  </si>
  <si>
    <t>METGE GENERALISTA</t>
  </si>
  <si>
    <t>empresa subcontratada</t>
  </si>
  <si>
    <t>contractes mercantil</t>
  </si>
  <si>
    <t>METGE ASESSOR</t>
  </si>
  <si>
    <t>contracte mercantil</t>
  </si>
  <si>
    <t>DIRECCIO FINANCERA</t>
  </si>
  <si>
    <t>TECNIC LABORAL</t>
  </si>
  <si>
    <t>RECURSOS HUMANS</t>
  </si>
  <si>
    <t>COMPTABLE</t>
  </si>
  <si>
    <t>COMPTABLE-FACTURACIO-TRESORERIA</t>
  </si>
  <si>
    <t>FISCAL-LEGAL</t>
  </si>
  <si>
    <t>TECNIC INFORMATIC SISTEMES</t>
  </si>
  <si>
    <t>ASSESSOR DE SISTEMES DE CALITAT-AUDITOR</t>
  </si>
  <si>
    <t>Sistemes de qualitat</t>
  </si>
  <si>
    <t>“Segons allò establert per la RESOLUCIÓ EMT/3326/2024, de 2 d’agost, per la qual es disposen la inscripció i la publicació del Conveni col·lectiu de treball d'establiments sanitaris d'hospitalització, assistència, consulta i laboratoris d'anàlisis clíniques de Catalunya per als anys 2023-2025 (codi núm. 79000815011994), els imports relatius als salaris experimentaran per l’any 2025 els increments que dicten les corresponents taules salarials. Tanmateix, es modificaran aquelles condicions laborals i de jornada que queden recollides en l’esmentada resolució”.  </t>
  </si>
  <si>
    <t>Fresenius Medical Care Services Catalunya S.L.U</t>
  </si>
  <si>
    <t>Barcelona Dreta litoral 2</t>
  </si>
  <si>
    <t>7527 Diagonal</t>
  </si>
  <si>
    <t>desembre 2024</t>
  </si>
  <si>
    <t>Convenio Colectivo Sanidad Privada Cataluña + TLC</t>
  </si>
  <si>
    <t>ENF.N-2</t>
  </si>
  <si>
    <t>A.ENF.N2</t>
  </si>
  <si>
    <t>ENF.D.A.</t>
  </si>
  <si>
    <t>X</t>
  </si>
  <si>
    <t>18. Contracte original a temps parcial al 80,23% Reducció cura familiar</t>
  </si>
  <si>
    <t>MED.N-2</t>
  </si>
  <si>
    <t>Adaptació de jornada a Conveni XHUP</t>
  </si>
  <si>
    <t>NEFRÓLOG</t>
  </si>
  <si>
    <t>18. Contracte original a temps parcial al43,31% Reducció cura familiar</t>
  </si>
  <si>
    <t>A.ENF.N1</t>
  </si>
  <si>
    <t>ENF.N-1</t>
  </si>
  <si>
    <t>289</t>
  </si>
  <si>
    <t>18.Contratacte original a temps parcial al 20%</t>
  </si>
  <si>
    <t>430</t>
  </si>
  <si>
    <t>Duración determinada Discapacitados</t>
  </si>
  <si>
    <t>A.ADM.N1</t>
  </si>
  <si>
    <t>18.Contratacte original a temps parcial al 50%</t>
  </si>
  <si>
    <t>510</t>
  </si>
  <si>
    <t>MOZO N1</t>
  </si>
  <si>
    <t>LOT BARCELONA DRETA LITORAL 2: Glòries
LOT BARCELONA ESQUERRA 2: Rossellón
LOT BAIX LLOBREGAT 2: Hospitalet-Sant Boi
LOT VALLÈS ORIENTAL CENTRAL - BAIX MONTSENY: Granollers
LOT VALLÈS OCCIDENTAL-OEST: Terrassa</t>
  </si>
  <si>
    <t>TEC.N-2</t>
  </si>
  <si>
    <t>LOT BARCELONA ESQUERRA 2: Rossellón
LOT VALLÈS ORIENTAL CENTRAL - BAIX MONTSENY: Granollers
LOT VALLÈS OCCIDENTAL-OEST: Terrassa
LOT BAIX LLOBREGAT 2: Hospitalet-Sant Boi
LOT TARRAGONES I BAIX PENEDES: Tarragona-Vendrell
LOT BAIX CAMP - PRIORAT: Reus</t>
  </si>
  <si>
    <t>OFADM.N2</t>
  </si>
  <si>
    <t>OFADM.N1</t>
  </si>
  <si>
    <t>DIR.ADM.</t>
  </si>
  <si>
    <t>COOR.REG</t>
  </si>
  <si>
    <t>D.MED.BC</t>
  </si>
  <si>
    <t>OF.1ªADM</t>
  </si>
  <si>
    <t>AUX.FAR2</t>
  </si>
  <si>
    <t>TEC.PRE2</t>
  </si>
  <si>
    <t>FARMACE2</t>
  </si>
  <si>
    <t xml:space="preserve">Esgotament temps Màxim IT </t>
  </si>
  <si>
    <t>139</t>
  </si>
  <si>
    <t>7527 Glòries</t>
  </si>
  <si>
    <t>540</t>
  </si>
  <si>
    <t xml:space="preserve">Jubilación parcial </t>
  </si>
  <si>
    <t>SUPER.DA</t>
  </si>
  <si>
    <t>MED.N-1</t>
  </si>
  <si>
    <t>LOT BARCELONA DRETA LITORAL 2: Diagonal
LOT BARCELONA ESQUERRA 2: Rossellón
LOT BAIX LLOBREGAT 2: Hospitalet-Sant Boi
LOT VALLÈS ORIENTAL CENTRAL - BAIX MONTSENY: Granollers
LOT VALLÈS OCCIDENTAL-OEST: Terrassa</t>
  </si>
  <si>
    <t>18.Sense data de finalització sol·licitada. Data màxima 4 anys (13/11/2027)
Excedencia per cura de fill</t>
  </si>
  <si>
    <t>Excedencia</t>
  </si>
  <si>
    <t>Lot territorial:  ¹</t>
  </si>
  <si>
    <t>Barcelona equerra 2</t>
  </si>
  <si>
    <t>7526 Rossello</t>
  </si>
  <si>
    <t>Jornada en torns de 12h</t>
  </si>
  <si>
    <t>A.ENF.DA</t>
  </si>
  <si>
    <t>18. No acomiadable, per nul anterior</t>
  </si>
  <si>
    <t>A.EN.DAC</t>
  </si>
  <si>
    <t>A.ENF.CE</t>
  </si>
  <si>
    <t>LOT BARCELONA DRETA LITORAL 2: Diagonal-Glòries
LOT BAIX LLOBREGAT 2: Hospitalet-Sant Boi
LOT VALLÈS ORIENTAL CENTRAL - BAIX MONTSENY: Granollers
LOT VALLÈS OCCIDENTAL-OEST: Terrassa</t>
  </si>
  <si>
    <t>LOT BARCELONA DRETA LITORAL 2: Diagonal-Glòries
LOT VALLÈS ORIENTAL CENTRAL - BAIX MONTSENY: Granollers
LOT VALLÈS OCCIDENTAL-OEST: Terrassa
LOT BAIX LLOBREGAT 2: Hospitalet-Sant Boi
LOT TARRAGONES I BAIX PENEDES: Tarragona-Vendrell
LOT BAIX CAMP - PRIORAT: Reus</t>
  </si>
  <si>
    <t>LOT VALLÈS ORIENTAL CENTRAL - BAIX MONTSENY: Granollers</t>
  </si>
  <si>
    <t>7529 Granollers</t>
  </si>
  <si>
    <t>18.Contracte original a temps parcial al 86,61%. Reducció GL</t>
  </si>
  <si>
    <t>18.Contracte original a temps parcial al 66%. Reducció GL</t>
  </si>
  <si>
    <t>130</t>
  </si>
  <si>
    <t>18.Contracte original a temps parcial al 75%. Reducció GL</t>
  </si>
  <si>
    <t>18.Contracte original a temps parcial al 10%. Reducció GL</t>
  </si>
  <si>
    <t>LOT BARCELONA DRETA LITORAL 2: Diagonal-Glòries
LOT BARCELONA ESQUERRA 2: Rossellón
LOT BAIX LLOBREGAT 2: Hospitalet-Sant Boi
LOT VALLÈS OCCIDENTAL-OEST: Terrassa</t>
  </si>
  <si>
    <t>LOT VALLÈS OCCIDENTAL-OEST: Terrassa</t>
  </si>
  <si>
    <t>CLIN.MAN</t>
  </si>
  <si>
    <t>LOT BARCELONA DRETA LITORAL 2: Diagonal-Glòries
LOT BARCELONA ESQUERRA 2: Rossellón
LOT VALLÈS OCCIDENTAL-OEST: Terrassa
LOT BAIX LLOBREGAT 2: Hospitalet-Sant Boi
LOT TARRAGONES I BAIX PENEDES: Tarragona-Vendrell
LOT BAIX CAMP - PRIORAT: Reus</t>
  </si>
  <si>
    <t>LOT VALLÈS OCCIDENTAL-OEST</t>
  </si>
  <si>
    <t>7525 Terrassa</t>
  </si>
  <si>
    <t>LOT BARCELONA DRETA LITORAL 2: Diagonal-Glòries
LOT BARCELONA ESQUERRA 2: Rossellón
LOT BAIX LLOBREGAT 2: Hospitalet-Sant Boi
LOT VALLÈS ORIENTAL CENTRAL - BAIX MONTSENY: Granollers</t>
  </si>
  <si>
    <t>LOT BARCELONA DRETA LITORAL 2: Diagonal-Glòries
LOT BARCELONA ESQUERRA 2: Rossellón
LOT VALLÈS ORIENTAL CENTRAL - BAIX MONTSENY: Granollers
LOT BAIX LLOBREGAT 2: Hospitalet-Sant Boi
LOT TARRAGONES I BAIX PENEDES: Tarragona-Vendrell
LOT BAIX CAMP - PRIORAT: Reus</t>
  </si>
  <si>
    <t xml:space="preserve">Baix Llobregat 2 </t>
  </si>
  <si>
    <t>7528 Hospitalet</t>
  </si>
  <si>
    <t>230</t>
  </si>
  <si>
    <t>A.ADM.N2</t>
  </si>
  <si>
    <t>LOT BAIX LLOBREGAT 2: St. Boi</t>
  </si>
  <si>
    <t>LOT BARCELONA DRETA LITORAL 2: Diagonal-Glòries
LOT BARCELONA ESQUERRA 2: Rossellón
LOT BAIX LLOBREGAT 2: Sant Boi
LOT VALLÈS ORIENTAL CENTRAL - BAIX MONTSENY: Granollers
LOT VALLÈS OCCIDENTAL-OEST: Terrassa</t>
  </si>
  <si>
    <t>LOT BARCELONA DRETA LITORAL 2: Diagonal-Glòries
LOT BARCELONA ESQUERRA 2: Rossellón
LOT BAIX LLOBREGAT 2: St.Boi
LOT VALLÈS ORIENTAL CENTRAL - BAIX MONTSENY: Granollers
LOT VALLÈS OCCIDENTAL-OEST: Terrassa
LOT TARRAGONES I BAIX PENEDES: Tarragona-Vendrell
LOT BAIX CAMP - PRIORAT: Reus</t>
  </si>
  <si>
    <t>LOT BARCELONA DRETA LITORAL 2: Diagonal-Glòries
LOT BARCELONA ESQUERRA 2: Rossellón
LOT VALLÈS ORIENTAL CENTRAL - BAIX MONTSENY: Granollers
LOT VALLÈS OCCIDENTAL-OEST: Terrassa
LOT TARRAGONES I BAIX PENEDES: Tarragona-Vendrell
LOT BAIX CAMP - PRIORAT: Reus</t>
  </si>
  <si>
    <t>Baix Llobregat 2</t>
  </si>
  <si>
    <t>7528 Sant Boi</t>
  </si>
  <si>
    <t>18.Contracte original a temps parcial al 80%</t>
  </si>
  <si>
    <t>18.Contracte original a temps parcial al 10%</t>
  </si>
  <si>
    <t>18.Contracte original a temps parcial al 50%</t>
  </si>
  <si>
    <t>LOT BAIX LLOBREGAT 2: Hospitalet</t>
  </si>
  <si>
    <t>LOT BARCELONA DRETA LITORAL 2: Diagonal-Glòries
LOT BARCELONA ESQUERRA 2: Rossellón
LOT BAIX LLOBREGAT 2: Hospitalet
LOT VALLÈS ORIENTAL CENTRAL - BAIX MONTSENY: Granollers
LOT VALLÈS OCCIDENTAL-OEST: Terrassa</t>
  </si>
  <si>
    <t>LOT BARCELONA DRETA LITORAL 2: Diagonal-Glòries
LOT BARCELONA ESQUERRA 2: Rossellón
LOT BAIX LLOBREGAT 2: Hospitalet
LOT VALLÈS ORIENTAL CENTRAL - BAIX MONTSENY: Granollers
LOT VALLÈS OCCIDENTAL-OEST: Terrassa
LOT TARRAGONES I BAIX PENEDES: Tarragona-Vendrell
LOT BAIX CAMP - PRIORAT: Reus</t>
  </si>
  <si>
    <t>Tarragonès i Baix Penedès</t>
  </si>
  <si>
    <t>7524 Tarragona</t>
  </si>
  <si>
    <t>SUPERV.</t>
  </si>
  <si>
    <t>LOT TARRAGONES I BAIX PENEDES: Vendrell</t>
  </si>
  <si>
    <t>LOT TARRAGONES I BAIX PENEDES: Vendrell
LOT BAIX CAMP - PRIORAT: Reus</t>
  </si>
  <si>
    <t>AY.OF.DI</t>
  </si>
  <si>
    <t>LOT BARCELONA DRETA LITORAL 2: Diagonal-Glòries
LOT BARCELONA ESQUERRA 2: Rossellón
LOT VALLÈS ORIENTAL CENTRAL - BAIX MONTSENY: Granollers
LOT VALLÈS OCCIDENTAL-OEST: Terrassa
LOT BAIX LLOBREGAT 2: Hospitalet-Sant Boi
LOT BAIX CAMP - PRIORAT: Reus</t>
  </si>
  <si>
    <t>7524 Vendrell</t>
  </si>
  <si>
    <t>18.Contracte original a temps parcial al 70%</t>
  </si>
  <si>
    <t>18.Contracte original a temps parcial al 20%</t>
  </si>
  <si>
    <t>18.Contracte original a temps parcial al 22%</t>
  </si>
  <si>
    <t>LOT TARRAGONES I BAIX PENEDES: Tarragona</t>
  </si>
  <si>
    <t>LOT TARRAGONES I BAIX PENEDES: Tarragona
LOT BAIX CAMP - PRIORAT: Reus</t>
  </si>
  <si>
    <t>Baix Camp - Priorat</t>
  </si>
  <si>
    <t>7523 Reus</t>
  </si>
  <si>
    <t>OF.ADM.</t>
  </si>
  <si>
    <t>18.Contracte original a temps parcial al 40%</t>
  </si>
  <si>
    <t>LOT TARRAGONES I BAIX PENEDES: Tarragona-Vendrell</t>
  </si>
  <si>
    <t>LOT BARCELONA DRETA LITORAL 2: Diagonal-Glòries
LOT BARCELONA ESQUERRA 2: Rossellón
LOT VALLÈS ORIENTAL CENTRAL - BAIX MONTSENY: Granollers
LOT VALLÈS OCCIDENTAL-OEST: Terrassa
LOT BAIX LLOBREGAT 2: Hospitalet-Sant Boi
LOT TARRAGONES I BAIX PENEDES: Tarragona-Vendrell</t>
  </si>
  <si>
    <t xml:space="preserve">Professional amb incidència </t>
  </si>
  <si>
    <t>SISTEMES RENALS, SA</t>
  </si>
  <si>
    <t xml:space="preserve">LLEIDA I ALT PIRINEU  </t>
  </si>
  <si>
    <r>
      <t>Retribució per sobre del conveni (</t>
    </r>
    <r>
      <rPr>
        <b/>
        <i/>
        <sz val="8"/>
        <rFont val="Calibri"/>
        <family val="2"/>
        <scheme val="minor"/>
      </rPr>
      <t>quantiatat anual)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</si>
</sst>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#,##0.00_ ;[Red]\-#,##0.00\ "/>
    <numFmt numFmtId="166" formatCode="0.0"/>
  </numFmts>
  <fonts count="4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i/>
      <sz val="8"/>
      <color rgb="FF000000"/>
      <name val="Calibri"/>
      <family val="2"/>
      <scheme val="minor"/>
    </font>
    <font>
      <b/>
      <vertAlign val="superscript"/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0.4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i/>
      <sz val="9"/>
      <color theme="1"/>
      <name val="Calibri"/>
      <family val="2"/>
      <scheme val="minor"/>
    </font>
    <font>
      <strike/>
      <sz val="9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2"/>
      <name val="Calibri"/>
      <family val="2"/>
      <scheme val="minor"/>
    </font>
    <font>
      <b/>
      <strike/>
      <sz val="9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trike/>
      <sz val="12"/>
      <color rgb="FFFF0000"/>
      <name val="Calibri"/>
      <family val="2"/>
      <scheme val="minor"/>
    </font>
    <font>
      <sz val="9"/>
      <color indexed="8"/>
      <name val="Arial"/>
      <family val="2"/>
    </font>
    <font>
      <sz val="10"/>
      <color indexed="8"/>
      <name val="Arial"/>
    </font>
    <font>
      <sz val="10"/>
      <color theme="1"/>
      <name val="Calibri"/>
      <family val="2"/>
      <scheme val="minor"/>
    </font>
    <font>
      <sz val="9"/>
      <color theme="1"/>
      <name val="Calibri"/>
      <family val="2"/>
    </font>
    <font>
      <sz val="9"/>
      <name val="Calibri"/>
      <family val="2"/>
    </font>
    <font>
      <sz val="9"/>
      <color rgb="FF000000"/>
      <name val="Calibri"/>
      <family val="2"/>
    </font>
    <font>
      <sz val="9"/>
      <color indexed="8"/>
      <name val="Calibri"/>
      <family val="2"/>
    </font>
    <font>
      <sz val="10"/>
      <color indexed="8"/>
      <name val="Calibri"/>
      <family val="2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rgb="FFFF0000"/>
      <name val="Calibri"/>
      <family val="2"/>
      <scheme val="minor"/>
    </font>
    <font>
      <i/>
      <sz val="8"/>
      <color rgb="FF222222"/>
      <name val="Arial"/>
      <family val="2"/>
    </font>
    <font>
      <sz val="8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color rgb="FF000000"/>
      <name val="Calibri"/>
      <family val="2"/>
    </font>
    <font>
      <b/>
      <sz val="8"/>
      <name val="Calibri"/>
      <family val="2"/>
      <scheme val="minor"/>
    </font>
    <font>
      <b/>
      <i/>
      <sz val="8"/>
      <name val="Calibri"/>
      <family val="2"/>
      <scheme val="minor"/>
    </font>
    <font>
      <strike/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9" fontId="12" fillId="0" borderId="0" applyFont="0" applyFill="0" applyBorder="0" applyAlignment="0" applyProtection="0"/>
    <xf numFmtId="0" fontId="20" fillId="0" borderId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433">
    <xf numFmtId="0" fontId="0" fillId="0" borderId="0" xfId="0"/>
    <xf numFmtId="0" fontId="3" fillId="0" borderId="0" xfId="0" applyFont="1"/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8" fontId="8" fillId="0" borderId="2" xfId="0" applyNumberFormat="1" applyFont="1" applyBorder="1" applyAlignment="1">
      <alignment horizontal="center"/>
    </xf>
    <xf numFmtId="14" fontId="8" fillId="0" borderId="2" xfId="0" applyNumberFormat="1" applyFont="1" applyBorder="1" applyAlignment="1">
      <alignment horizontal="center"/>
    </xf>
    <xf numFmtId="0" fontId="7" fillId="0" borderId="2" xfId="0" quotePrefix="1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2" xfId="0" quotePrefix="1" applyFont="1" applyBorder="1" applyAlignment="1">
      <alignment horizontal="left" vertical="center"/>
    </xf>
    <xf numFmtId="0" fontId="8" fillId="0" borderId="2" xfId="0" applyFont="1" applyBorder="1" applyAlignment="1">
      <alignment horizontal="left" wrapText="1"/>
    </xf>
    <xf numFmtId="0" fontId="7" fillId="0" borderId="1" xfId="0" applyFont="1" applyBorder="1" applyAlignment="1">
      <alignment horizontal="center" vertical="center"/>
    </xf>
    <xf numFmtId="8" fontId="8" fillId="0" borderId="1" xfId="0" applyNumberFormat="1" applyFont="1" applyBorder="1" applyAlignment="1">
      <alignment horizontal="center"/>
    </xf>
    <xf numFmtId="0" fontId="7" fillId="0" borderId="1" xfId="0" quotePrefix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/>
    </xf>
    <xf numFmtId="0" fontId="10" fillId="0" borderId="0" xfId="0" applyFont="1"/>
    <xf numFmtId="0" fontId="4" fillId="2" borderId="8" xfId="0" applyFont="1" applyFill="1" applyBorder="1" applyAlignment="1">
      <alignment horizontal="center" vertical="center" wrapText="1"/>
    </xf>
    <xf numFmtId="0" fontId="7" fillId="0" borderId="0" xfId="0" applyFont="1"/>
    <xf numFmtId="2" fontId="0" fillId="0" borderId="0" xfId="0" applyNumberFormat="1"/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3" fontId="0" fillId="0" borderId="0" xfId="0" applyNumberFormat="1" applyAlignment="1">
      <alignment horizontal="center"/>
    </xf>
    <xf numFmtId="3" fontId="0" fillId="0" borderId="0" xfId="0" applyNumberFormat="1"/>
    <xf numFmtId="0" fontId="2" fillId="0" borderId="0" xfId="0" applyFont="1" applyAlignment="1">
      <alignment horizontal="center"/>
    </xf>
    <xf numFmtId="0" fontId="15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6" fillId="0" borderId="1" xfId="0" applyFont="1" applyBorder="1" applyAlignment="1">
      <alignment horizontal="center" vertical="center"/>
    </xf>
    <xf numFmtId="3" fontId="8" fillId="0" borderId="2" xfId="0" applyNumberFormat="1" applyFont="1" applyBorder="1" applyAlignment="1">
      <alignment horizontal="center"/>
    </xf>
    <xf numFmtId="9" fontId="7" fillId="0" borderId="2" xfId="0" applyNumberFormat="1" applyFont="1" applyBorder="1" applyAlignment="1">
      <alignment horizontal="center"/>
    </xf>
    <xf numFmtId="2" fontId="7" fillId="0" borderId="0" xfId="0" applyNumberFormat="1" applyFont="1"/>
    <xf numFmtId="0" fontId="8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4" fontId="8" fillId="0" borderId="1" xfId="0" applyNumberFormat="1" applyFont="1" applyBorder="1" applyAlignment="1">
      <alignment horizontal="center"/>
    </xf>
    <xf numFmtId="0" fontId="7" fillId="0" borderId="1" xfId="0" quotePrefix="1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/>
    <xf numFmtId="0" fontId="0" fillId="0" borderId="0" xfId="0" quotePrefix="1"/>
    <xf numFmtId="0" fontId="0" fillId="0" borderId="1" xfId="0" applyBorder="1"/>
    <xf numFmtId="0" fontId="17" fillId="0" borderId="0" xfId="0" applyFont="1" applyAlignment="1">
      <alignment horizontal="center"/>
    </xf>
    <xf numFmtId="0" fontId="17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4" fontId="18" fillId="0" borderId="1" xfId="0" applyNumberFormat="1" applyFont="1" applyFill="1" applyBorder="1" applyAlignment="1">
      <alignment horizontal="left"/>
    </xf>
    <xf numFmtId="0" fontId="19" fillId="0" borderId="0" xfId="0" applyFont="1" applyFill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3" fontId="8" fillId="0" borderId="1" xfId="0" applyNumberFormat="1" applyFont="1" applyBorder="1" applyAlignment="1">
      <alignment horizontal="center"/>
    </xf>
    <xf numFmtId="9" fontId="8" fillId="0" borderId="1" xfId="1" applyFont="1" applyBorder="1" applyAlignment="1">
      <alignment horizontal="center"/>
    </xf>
    <xf numFmtId="9" fontId="7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2" fontId="8" fillId="0" borderId="1" xfId="1" applyNumberFormat="1" applyFont="1" applyBorder="1" applyAlignment="1">
      <alignment horizontal="center"/>
    </xf>
    <xf numFmtId="2" fontId="7" fillId="0" borderId="1" xfId="0" applyNumberFormat="1" applyFont="1" applyBorder="1"/>
    <xf numFmtId="0" fontId="4" fillId="2" borderId="9" xfId="0" applyFont="1" applyFill="1" applyBorder="1" applyAlignment="1">
      <alignment horizontal="center" vertical="center" wrapText="1"/>
    </xf>
    <xf numFmtId="0" fontId="0" fillId="0" borderId="0" xfId="0" applyNumberFormat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7" xfId="0" applyFont="1" applyFill="1" applyBorder="1" applyAlignment="1">
      <alignment horizontal="center"/>
    </xf>
    <xf numFmtId="0" fontId="22" fillId="0" borderId="0" xfId="0" applyFont="1" applyAlignment="1">
      <alignment vertical="center"/>
    </xf>
    <xf numFmtId="0" fontId="21" fillId="0" borderId="5" xfId="0" applyFont="1" applyFill="1" applyBorder="1" applyAlignment="1"/>
    <xf numFmtId="0" fontId="21" fillId="0" borderId="6" xfId="0" applyFont="1" applyFill="1" applyBorder="1" applyAlignment="1"/>
    <xf numFmtId="14" fontId="21" fillId="0" borderId="1" xfId="0" applyNumberFormat="1" applyFont="1" applyFill="1" applyBorder="1" applyAlignment="1">
      <alignment horizontal="left"/>
    </xf>
    <xf numFmtId="0" fontId="21" fillId="0" borderId="0" xfId="0" applyFont="1" applyFill="1" applyAlignment="1">
      <alignment horizontal="left"/>
    </xf>
    <xf numFmtId="0" fontId="0" fillId="0" borderId="0" xfId="0" applyFont="1" applyFill="1"/>
    <xf numFmtId="0" fontId="1" fillId="0" borderId="0" xfId="0" applyFont="1" applyAlignment="1">
      <alignment vertical="center"/>
    </xf>
    <xf numFmtId="0" fontId="23" fillId="0" borderId="0" xfId="0" applyFont="1" applyFill="1" applyAlignment="1">
      <alignment horizontal="left"/>
    </xf>
    <xf numFmtId="0" fontId="7" fillId="3" borderId="2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7" fillId="0" borderId="2" xfId="0" quotePrefix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6" fillId="0" borderId="0" xfId="0" applyFont="1" applyBorder="1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 wrapText="1"/>
    </xf>
    <xf numFmtId="14" fontId="27" fillId="0" borderId="1" xfId="0" applyNumberFormat="1" applyFont="1" applyBorder="1" applyAlignment="1">
      <alignment horizontal="center" vertical="center"/>
    </xf>
    <xf numFmtId="0" fontId="27" fillId="0" borderId="2" xfId="0" quotePrefix="1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/>
    </xf>
    <xf numFmtId="0" fontId="32" fillId="0" borderId="0" xfId="0" applyFont="1"/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8" fontId="8" fillId="0" borderId="0" xfId="0" applyNumberFormat="1" applyFont="1" applyBorder="1" applyAlignment="1">
      <alignment horizontal="center"/>
    </xf>
    <xf numFmtId="14" fontId="8" fillId="0" borderId="0" xfId="0" applyNumberFormat="1" applyFont="1" applyBorder="1" applyAlignment="1">
      <alignment horizontal="center"/>
    </xf>
    <xf numFmtId="0" fontId="7" fillId="0" borderId="0" xfId="0" quotePrefix="1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quotePrefix="1" applyFont="1" applyBorder="1" applyAlignment="1">
      <alignment horizontal="left" vertical="center"/>
    </xf>
    <xf numFmtId="0" fontId="8" fillId="0" borderId="0" xfId="0" applyFont="1" applyBorder="1" applyAlignment="1">
      <alignment horizontal="center" wrapText="1"/>
    </xf>
    <xf numFmtId="0" fontId="26" fillId="0" borderId="0" xfId="0" applyFont="1" applyBorder="1" applyAlignment="1">
      <alignment horizontal="center"/>
    </xf>
    <xf numFmtId="0" fontId="2" fillId="0" borderId="0" xfId="0" applyFont="1" applyAlignment="1">
      <alignment horizontal="left" vertical="center" indent="2"/>
    </xf>
    <xf numFmtId="0" fontId="0" fillId="0" borderId="0" xfId="0" applyFont="1" applyAlignment="1">
      <alignment horizontal="left" vertical="center" indent="1"/>
    </xf>
    <xf numFmtId="0" fontId="18" fillId="0" borderId="0" xfId="0" applyFont="1" applyFill="1" applyAlignment="1">
      <alignment horizontal="left"/>
    </xf>
    <xf numFmtId="0" fontId="23" fillId="0" borderId="0" xfId="0" applyFont="1" applyAlignment="1">
      <alignment horizontal="left"/>
    </xf>
    <xf numFmtId="0" fontId="33" fillId="0" borderId="0" xfId="0" applyFont="1" applyAlignment="1">
      <alignment vertical="center"/>
    </xf>
    <xf numFmtId="0" fontId="4" fillId="4" borderId="3" xfId="0" applyFont="1" applyFill="1" applyBorder="1" applyAlignment="1">
      <alignment horizontal="center" vertical="center" wrapText="1"/>
    </xf>
    <xf numFmtId="8" fontId="9" fillId="0" borderId="2" xfId="0" applyNumberFormat="1" applyFont="1" applyBorder="1" applyAlignment="1">
      <alignment horizontal="center"/>
    </xf>
    <xf numFmtId="14" fontId="9" fillId="0" borderId="2" xfId="0" applyNumberFormat="1" applyFont="1" applyBorder="1" applyAlignment="1">
      <alignment horizontal="center"/>
    </xf>
    <xf numFmtId="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8" fontId="9" fillId="0" borderId="1" xfId="0" applyNumberFormat="1" applyFont="1" applyBorder="1" applyAlignment="1">
      <alignment horizontal="center"/>
    </xf>
    <xf numFmtId="14" fontId="9" fillId="0" borderId="1" xfId="0" applyNumberFormat="1" applyFont="1" applyBorder="1" applyAlignment="1">
      <alignment horizontal="center"/>
    </xf>
    <xf numFmtId="9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14" fontId="9" fillId="0" borderId="1" xfId="0" applyNumberFormat="1" applyFont="1" applyBorder="1" applyAlignment="1">
      <alignment horizontal="center" wrapText="1"/>
    </xf>
    <xf numFmtId="8" fontId="9" fillId="0" borderId="13" xfId="0" applyNumberFormat="1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14" fontId="9" fillId="0" borderId="13" xfId="0" applyNumberFormat="1" applyFont="1" applyBorder="1" applyAlignment="1">
      <alignment horizontal="center"/>
    </xf>
    <xf numFmtId="9" fontId="9" fillId="0" borderId="13" xfId="0" applyNumberFormat="1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14" fontId="9" fillId="0" borderId="13" xfId="0" applyNumberFormat="1" applyFont="1" applyBorder="1" applyAlignment="1">
      <alignment horizontal="center" wrapText="1"/>
    </xf>
    <xf numFmtId="9" fontId="1" fillId="0" borderId="13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8" fontId="8" fillId="0" borderId="0" xfId="0" applyNumberFormat="1" applyFont="1" applyAlignment="1">
      <alignment horizontal="center"/>
    </xf>
    <xf numFmtId="14" fontId="8" fillId="0" borderId="0" xfId="0" applyNumberFormat="1" applyFont="1" applyAlignment="1">
      <alignment horizontal="center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quotePrefix="1" applyFont="1" applyAlignment="1">
      <alignment horizontal="left" vertical="center"/>
    </xf>
    <xf numFmtId="0" fontId="8" fillId="0" borderId="0" xfId="0" applyFont="1" applyAlignment="1">
      <alignment horizontal="left" wrapText="1"/>
    </xf>
    <xf numFmtId="0" fontId="26" fillId="0" borderId="0" xfId="0" applyFont="1"/>
    <xf numFmtId="0" fontId="1" fillId="0" borderId="7" xfId="0" applyFont="1" applyBorder="1" applyAlignment="1">
      <alignment horizontal="left"/>
    </xf>
    <xf numFmtId="14" fontId="18" fillId="0" borderId="1" xfId="0" applyNumberFormat="1" applyFont="1" applyBorder="1" applyAlignment="1">
      <alignment horizontal="left"/>
    </xf>
    <xf numFmtId="0" fontId="1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8" fillId="0" borderId="2" xfId="0" applyFont="1" applyBorder="1" applyAlignment="1">
      <alignment horizontal="center" wrapText="1"/>
    </xf>
    <xf numFmtId="0" fontId="0" fillId="5" borderId="0" xfId="0" applyFill="1"/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18" fillId="0" borderId="5" xfId="0" applyFont="1" applyBorder="1"/>
    <xf numFmtId="0" fontId="18" fillId="0" borderId="6" xfId="0" applyFont="1" applyBorder="1"/>
    <xf numFmtId="0" fontId="18" fillId="0" borderId="7" xfId="0" applyFont="1" applyBorder="1"/>
    <xf numFmtId="0" fontId="0" fillId="0" borderId="7" xfId="0" applyBorder="1" applyAlignment="1">
      <alignment horizontal="left"/>
    </xf>
    <xf numFmtId="0" fontId="18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0" borderId="1" xfId="0" applyFont="1" applyBorder="1" applyAlignment="1">
      <alignment horizontal="left" vertical="center"/>
    </xf>
    <xf numFmtId="44" fontId="7" fillId="0" borderId="2" xfId="3" applyFont="1" applyBorder="1" applyAlignment="1">
      <alignment horizontal="center" vertical="center"/>
    </xf>
    <xf numFmtId="44" fontId="7" fillId="0" borderId="1" xfId="3" applyFont="1" applyBorder="1" applyAlignment="1">
      <alignment horizontal="center" vertical="center"/>
    </xf>
    <xf numFmtId="14" fontId="7" fillId="0" borderId="1" xfId="0" quotePrefix="1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8" fontId="8" fillId="0" borderId="1" xfId="0" applyNumberFormat="1" applyFont="1" applyFill="1" applyBorder="1" applyAlignment="1">
      <alignment horizontal="center"/>
    </xf>
    <xf numFmtId="44" fontId="8" fillId="0" borderId="1" xfId="3" applyFont="1" applyFill="1" applyBorder="1" applyAlignment="1">
      <alignment horizontal="center"/>
    </xf>
    <xf numFmtId="14" fontId="8" fillId="0" borderId="1" xfId="0" applyNumberFormat="1" applyFont="1" applyFill="1" applyBorder="1" applyAlignment="1">
      <alignment horizontal="center"/>
    </xf>
    <xf numFmtId="14" fontId="7" fillId="0" borderId="1" xfId="0" quotePrefix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7" fillId="0" borderId="1" xfId="0" quotePrefix="1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9" fontId="0" fillId="0" borderId="1" xfId="0" applyNumberFormat="1" applyFill="1" applyBorder="1" applyAlignment="1">
      <alignment horizontal="center"/>
    </xf>
    <xf numFmtId="14" fontId="8" fillId="0" borderId="1" xfId="0" applyNumberFormat="1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wrapText="1"/>
    </xf>
    <xf numFmtId="0" fontId="37" fillId="0" borderId="1" xfId="0" applyFont="1" applyFill="1" applyBorder="1" applyAlignment="1">
      <alignment horizontal="left" vertical="center" wrapText="1"/>
    </xf>
    <xf numFmtId="8" fontId="8" fillId="0" borderId="1" xfId="0" applyNumberFormat="1" applyFont="1" applyFill="1" applyBorder="1" applyAlignment="1">
      <alignment horizontal="center" vertical="center"/>
    </xf>
    <xf numFmtId="44" fontId="7" fillId="0" borderId="1" xfId="3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/>
    </xf>
    <xf numFmtId="0" fontId="7" fillId="0" borderId="1" xfId="0" quotePrefix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8" fontId="8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4" fontId="8" fillId="0" borderId="2" xfId="0" applyNumberFormat="1" applyFont="1" applyFill="1" applyBorder="1" applyAlignment="1">
      <alignment horizontal="center" vertical="center"/>
    </xf>
    <xf numFmtId="14" fontId="7" fillId="0" borderId="2" xfId="0" quotePrefix="1" applyNumberFormat="1" applyFont="1" applyFill="1" applyBorder="1" applyAlignment="1">
      <alignment horizontal="center" vertical="center"/>
    </xf>
    <xf numFmtId="0" fontId="7" fillId="0" borderId="2" xfId="0" quotePrefix="1" applyFont="1" applyFill="1" applyBorder="1" applyAlignment="1">
      <alignment horizontal="left" vertical="center"/>
    </xf>
    <xf numFmtId="9" fontId="0" fillId="0" borderId="2" xfId="0" applyNumberFormat="1" applyFill="1" applyBorder="1" applyAlignment="1">
      <alignment horizontal="center" vertical="center"/>
    </xf>
    <xf numFmtId="0" fontId="38" fillId="0" borderId="2" xfId="2" applyFont="1" applyFill="1" applyBorder="1" applyAlignment="1">
      <alignment horizontal="center" vertical="center"/>
    </xf>
    <xf numFmtId="0" fontId="38" fillId="0" borderId="2" xfId="2" applyFont="1" applyBorder="1" applyAlignment="1">
      <alignment horizontal="center" vertical="center"/>
    </xf>
    <xf numFmtId="0" fontId="39" fillId="0" borderId="2" xfId="2" applyFont="1" applyBorder="1" applyAlignment="1">
      <alignment horizontal="right" vertical="top" wrapText="1"/>
    </xf>
    <xf numFmtId="8" fontId="8" fillId="0" borderId="2" xfId="0" applyNumberFormat="1" applyFont="1" applyFill="1" applyBorder="1" applyAlignment="1">
      <alignment horizontal="center"/>
    </xf>
    <xf numFmtId="44" fontId="7" fillId="0" borderId="2" xfId="3" applyFont="1" applyFill="1" applyBorder="1" applyAlignment="1">
      <alignment horizontal="center" vertical="center"/>
    </xf>
    <xf numFmtId="14" fontId="8" fillId="0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/>
    <xf numFmtId="0" fontId="9" fillId="0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8" fontId="8" fillId="0" borderId="0" xfId="0" applyNumberFormat="1" applyFont="1" applyAlignment="1">
      <alignment horizontal="left"/>
    </xf>
    <xf numFmtId="0" fontId="37" fillId="0" borderId="1" xfId="0" applyFont="1" applyFill="1" applyBorder="1" applyAlignment="1">
      <alignment vertical="top" wrapText="1"/>
    </xf>
    <xf numFmtId="44" fontId="0" fillId="0" borderId="0" xfId="3" applyFont="1"/>
    <xf numFmtId="0" fontId="8" fillId="0" borderId="2" xfId="0" applyFont="1" applyFill="1" applyBorder="1" applyAlignment="1">
      <alignment horizontal="left" vertical="center"/>
    </xf>
    <xf numFmtId="0" fontId="7" fillId="0" borderId="2" xfId="0" quotePrefix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wrapText="1"/>
    </xf>
    <xf numFmtId="0" fontId="16" fillId="0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8" fontId="0" fillId="0" borderId="0" xfId="0" applyNumberFormat="1"/>
    <xf numFmtId="0" fontId="3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Fill="1" applyAlignment="1">
      <alignment wrapText="1"/>
    </xf>
    <xf numFmtId="0" fontId="2" fillId="0" borderId="0" xfId="0" applyFont="1" applyAlignment="1">
      <alignment vertical="center" wrapText="1"/>
    </xf>
    <xf numFmtId="0" fontId="18" fillId="0" borderId="5" xfId="0" applyFont="1" applyBorder="1" applyAlignment="1">
      <alignment wrapText="1"/>
    </xf>
    <xf numFmtId="0" fontId="18" fillId="0" borderId="6" xfId="0" applyFont="1" applyBorder="1" applyAlignment="1">
      <alignment wrapText="1"/>
    </xf>
    <xf numFmtId="0" fontId="0" fillId="0" borderId="7" xfId="0" applyBorder="1" applyAlignment="1">
      <alignment horizontal="left" wrapText="1"/>
    </xf>
    <xf numFmtId="0" fontId="22" fillId="0" borderId="0" xfId="0" applyFont="1" applyAlignment="1">
      <alignment vertical="center" wrapText="1"/>
    </xf>
    <xf numFmtId="0" fontId="18" fillId="0" borderId="1" xfId="0" applyFont="1" applyBorder="1" applyAlignment="1">
      <alignment horizontal="left" wrapText="1"/>
    </xf>
    <xf numFmtId="0" fontId="2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8" fontId="8" fillId="0" borderId="2" xfId="0" applyNumberFormat="1" applyFont="1" applyFill="1" applyBorder="1" applyAlignment="1">
      <alignment horizontal="center" wrapText="1"/>
    </xf>
    <xf numFmtId="44" fontId="7" fillId="0" borderId="2" xfId="3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wrapText="1"/>
    </xf>
    <xf numFmtId="14" fontId="7" fillId="0" borderId="2" xfId="0" quotePrefix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wrapText="1"/>
    </xf>
    <xf numFmtId="14" fontId="7" fillId="0" borderId="2" xfId="0" applyNumberFormat="1" applyFont="1" applyFill="1" applyBorder="1" applyAlignment="1">
      <alignment horizontal="center" wrapText="1"/>
    </xf>
    <xf numFmtId="0" fontId="7" fillId="0" borderId="2" xfId="0" quotePrefix="1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8" fontId="8" fillId="0" borderId="1" xfId="0" applyNumberFormat="1" applyFont="1" applyFill="1" applyBorder="1" applyAlignment="1">
      <alignment horizontal="center" wrapText="1"/>
    </xf>
    <xf numFmtId="44" fontId="7" fillId="0" borderId="1" xfId="3" applyFont="1" applyFill="1" applyBorder="1" applyAlignment="1">
      <alignment horizontal="center" vertical="center" wrapText="1"/>
    </xf>
    <xf numFmtId="14" fontId="7" fillId="0" borderId="1" xfId="0" quotePrefix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14" fontId="7" fillId="0" borderId="1" xfId="0" applyNumberFormat="1" applyFont="1" applyFill="1" applyBorder="1" applyAlignment="1">
      <alignment horizontal="center" wrapText="1"/>
    </xf>
    <xf numFmtId="0" fontId="7" fillId="0" borderId="1" xfId="0" quotePrefix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44" fontId="8" fillId="0" borderId="1" xfId="3" applyFont="1" applyFill="1" applyBorder="1" applyAlignment="1">
      <alignment horizontal="center" wrapText="1"/>
    </xf>
    <xf numFmtId="9" fontId="0" fillId="0" borderId="1" xfId="0" applyNumberFormat="1" applyFill="1" applyBorder="1" applyAlignment="1">
      <alignment horizontal="center" wrapText="1"/>
    </xf>
    <xf numFmtId="9" fontId="0" fillId="0" borderId="1" xfId="0" applyNumberForma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8" fontId="8" fillId="0" borderId="1" xfId="0" applyNumberFormat="1" applyFont="1" applyFill="1" applyBorder="1" applyAlignment="1">
      <alignment horizontal="center" vertical="center" wrapText="1"/>
    </xf>
    <xf numFmtId="0" fontId="7" fillId="0" borderId="1" xfId="0" quotePrefix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6" fillId="0" borderId="0" xfId="0" applyFont="1" applyAlignment="1">
      <alignment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8" fontId="8" fillId="0" borderId="1" xfId="0" applyNumberFormat="1" applyFont="1" applyBorder="1" applyAlignment="1">
      <alignment horizontal="center" wrapText="1"/>
    </xf>
    <xf numFmtId="0" fontId="7" fillId="0" borderId="1" xfId="0" quotePrefix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quotePrefix="1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8" fontId="8" fillId="0" borderId="0" xfId="0" applyNumberFormat="1" applyFont="1" applyAlignment="1">
      <alignment horizontal="center" wrapText="1"/>
    </xf>
    <xf numFmtId="14" fontId="8" fillId="0" borderId="0" xfId="0" applyNumberFormat="1" applyFont="1" applyAlignment="1">
      <alignment horizontal="center" wrapText="1"/>
    </xf>
    <xf numFmtId="0" fontId="7" fillId="0" borderId="0" xfId="0" quotePrefix="1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quotePrefix="1" applyFont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left" wrapText="1"/>
    </xf>
    <xf numFmtId="0" fontId="0" fillId="0" borderId="0" xfId="0" applyAlignment="1"/>
    <xf numFmtId="0" fontId="36" fillId="0" borderId="0" xfId="0" applyFont="1" applyAlignment="1"/>
    <xf numFmtId="0" fontId="10" fillId="0" borderId="0" xfId="0" applyFont="1" applyAlignment="1"/>
    <xf numFmtId="0" fontId="3" fillId="0" borderId="0" xfId="0" applyFont="1" applyAlignment="1"/>
    <xf numFmtId="0" fontId="7" fillId="0" borderId="2" xfId="0" applyFont="1" applyBorder="1" applyAlignment="1">
      <alignment horizontal="center" vertical="center" wrapText="1"/>
    </xf>
    <xf numFmtId="1" fontId="9" fillId="0" borderId="2" xfId="0" applyNumberFormat="1" applyFont="1" applyBorder="1" applyAlignment="1">
      <alignment horizontal="center" vertical="center" wrapText="1"/>
    </xf>
    <xf numFmtId="8" fontId="8" fillId="0" borderId="2" xfId="0" applyNumberFormat="1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quotePrefix="1" applyBorder="1" applyAlignment="1">
      <alignment wrapText="1"/>
    </xf>
    <xf numFmtId="0" fontId="7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14" fontId="0" fillId="0" borderId="1" xfId="0" quotePrefix="1" applyNumberFormat="1" applyBorder="1" applyAlignment="1">
      <alignment horizontal="left" wrapText="1"/>
    </xf>
    <xf numFmtId="14" fontId="34" fillId="0" borderId="1" xfId="0" applyNumberFormat="1" applyFont="1" applyBorder="1" applyAlignment="1">
      <alignment horizontal="left" wrapText="1"/>
    </xf>
    <xf numFmtId="0" fontId="7" fillId="0" borderId="1" xfId="0" quotePrefix="1" applyFont="1" applyBorder="1" applyAlignment="1">
      <alignment vertical="center" wrapText="1"/>
    </xf>
    <xf numFmtId="0" fontId="0" fillId="0" borderId="1" xfId="0" applyBorder="1" applyAlignment="1">
      <alignment horizontal="right" vertical="center" wrapText="1"/>
    </xf>
    <xf numFmtId="8" fontId="35" fillId="0" borderId="2" xfId="0" applyNumberFormat="1" applyFont="1" applyBorder="1" applyAlignment="1">
      <alignment horizontal="center" wrapText="1"/>
    </xf>
    <xf numFmtId="0" fontId="0" fillId="0" borderId="1" xfId="0" quotePrefix="1" applyBorder="1" applyAlignment="1">
      <alignment horizontal="left" vertical="center" wrapText="1"/>
    </xf>
    <xf numFmtId="14" fontId="8" fillId="0" borderId="2" xfId="0" applyNumberFormat="1" applyFont="1" applyBorder="1" applyAlignment="1">
      <alignment horizontal="center" wrapText="1"/>
    </xf>
    <xf numFmtId="0" fontId="0" fillId="0" borderId="2" xfId="0" applyBorder="1" applyAlignment="1">
      <alignment horizontal="right" vertical="center" wrapText="1"/>
    </xf>
    <xf numFmtId="14" fontId="34" fillId="0" borderId="2" xfId="0" applyNumberFormat="1" applyFont="1" applyBorder="1" applyAlignment="1">
      <alignment horizontal="left" wrapText="1"/>
    </xf>
    <xf numFmtId="0" fontId="7" fillId="0" borderId="1" xfId="0" quotePrefix="1" applyFont="1" applyBorder="1" applyAlignment="1">
      <alignment horizontal="right" vertical="center" wrapText="1"/>
    </xf>
    <xf numFmtId="9" fontId="0" fillId="0" borderId="1" xfId="0" applyNumberForma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quotePrefix="1" applyFont="1" applyBorder="1" applyAlignment="1">
      <alignment horizontal="left" vertical="center" wrapText="1"/>
    </xf>
    <xf numFmtId="0" fontId="0" fillId="0" borderId="7" xfId="0" applyBorder="1"/>
    <xf numFmtId="0" fontId="18" fillId="0" borderId="16" xfId="0" applyFont="1" applyFill="1" applyBorder="1" applyAlignment="1"/>
    <xf numFmtId="0" fontId="18" fillId="0" borderId="17" xfId="0" applyFont="1" applyFill="1" applyBorder="1" applyAlignment="1"/>
    <xf numFmtId="0" fontId="18" fillId="0" borderId="18" xfId="0" applyFont="1" applyFill="1" applyBorder="1" applyAlignment="1"/>
    <xf numFmtId="0" fontId="1" fillId="0" borderId="6" xfId="0" applyFont="1" applyFill="1" applyBorder="1" applyAlignment="1">
      <alignment horizontal="left"/>
    </xf>
    <xf numFmtId="0" fontId="1" fillId="0" borderId="17" xfId="0" applyFont="1" applyFill="1" applyBorder="1" applyAlignment="1">
      <alignment horizontal="left"/>
    </xf>
    <xf numFmtId="0" fontId="0" fillId="0" borderId="18" xfId="0" applyBorder="1"/>
    <xf numFmtId="14" fontId="18" fillId="0" borderId="2" xfId="0" applyNumberFormat="1" applyFont="1" applyFill="1" applyBorder="1" applyAlignment="1">
      <alignment horizontal="left"/>
    </xf>
    <xf numFmtId="0" fontId="9" fillId="0" borderId="2" xfId="0" applyFont="1" applyBorder="1" applyAlignment="1">
      <alignment horizontal="center" wrapText="1"/>
    </xf>
    <xf numFmtId="164" fontId="7" fillId="0" borderId="1" xfId="4" applyFont="1" applyBorder="1" applyAlignment="1">
      <alignment horizontal="center" vertical="center"/>
    </xf>
    <xf numFmtId="8" fontId="8" fillId="0" borderId="11" xfId="0" applyNumberFormat="1" applyFont="1" applyBorder="1" applyAlignment="1">
      <alignment horizontal="center" vertical="center"/>
    </xf>
    <xf numFmtId="165" fontId="8" fillId="0" borderId="2" xfId="0" applyNumberFormat="1" applyFont="1" applyBorder="1" applyAlignment="1">
      <alignment horizontal="center" vertical="center"/>
    </xf>
    <xf numFmtId="8" fontId="8" fillId="0" borderId="2" xfId="0" applyNumberFormat="1" applyFont="1" applyBorder="1" applyAlignment="1">
      <alignment horizontal="center" vertical="center"/>
    </xf>
    <xf numFmtId="164" fontId="7" fillId="3" borderId="1" xfId="4" applyFont="1" applyFill="1" applyBorder="1" applyAlignment="1">
      <alignment horizontal="center" vertical="center"/>
    </xf>
    <xf numFmtId="49" fontId="24" fillId="3" borderId="12" xfId="0" applyNumberFormat="1" applyFont="1" applyFill="1" applyBorder="1" applyAlignment="1">
      <alignment horizontal="center" vertical="center"/>
    </xf>
    <xf numFmtId="14" fontId="24" fillId="3" borderId="12" xfId="0" applyNumberFormat="1" applyFont="1" applyFill="1" applyBorder="1" applyAlignment="1">
      <alignment horizontal="center" vertical="center"/>
    </xf>
    <xf numFmtId="0" fontId="24" fillId="3" borderId="12" xfId="0" applyNumberFormat="1" applyFont="1" applyFill="1" applyBorder="1" applyAlignment="1">
      <alignment horizontal="center" vertical="center"/>
    </xf>
    <xf numFmtId="14" fontId="7" fillId="0" borderId="2" xfId="0" applyNumberFormat="1" applyFont="1" applyBorder="1" applyAlignment="1">
      <alignment horizontal="center" vertical="center"/>
    </xf>
    <xf numFmtId="49" fontId="25" fillId="3" borderId="12" xfId="0" applyNumberFormat="1" applyFont="1" applyFill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164" fontId="8" fillId="0" borderId="2" xfId="4" applyFont="1" applyBorder="1" applyAlignment="1">
      <alignment horizontal="center" vertical="center"/>
    </xf>
    <xf numFmtId="8" fontId="8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4" fontId="7" fillId="3" borderId="1" xfId="4" applyFont="1" applyFill="1" applyBorder="1" applyAlignment="1">
      <alignment vertical="center"/>
    </xf>
    <xf numFmtId="164" fontId="8" fillId="0" borderId="1" xfId="4" applyFont="1" applyBorder="1" applyAlignment="1">
      <alignment horizontal="center" vertical="center"/>
    </xf>
    <xf numFmtId="8" fontId="8" fillId="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39" fontId="8" fillId="0" borderId="2" xfId="4" applyNumberFormat="1" applyFont="1" applyBorder="1" applyAlignment="1">
      <alignment horizontal="center" vertical="center"/>
    </xf>
    <xf numFmtId="14" fontId="8" fillId="0" borderId="2" xfId="0" applyNumberFormat="1" applyFont="1" applyBorder="1" applyAlignment="1">
      <alignment horizontal="center" vertical="center"/>
    </xf>
    <xf numFmtId="164" fontId="29" fillId="0" borderId="1" xfId="4" applyFont="1" applyBorder="1" applyAlignment="1">
      <alignment horizontal="center" vertical="center"/>
    </xf>
    <xf numFmtId="8" fontId="29" fillId="0" borderId="1" xfId="0" applyNumberFormat="1" applyFont="1" applyBorder="1" applyAlignment="1">
      <alignment horizontal="center" vertical="center"/>
    </xf>
    <xf numFmtId="165" fontId="29" fillId="0" borderId="1" xfId="0" applyNumberFormat="1" applyFont="1" applyBorder="1" applyAlignment="1">
      <alignment horizontal="center" vertical="center"/>
    </xf>
    <xf numFmtId="8" fontId="29" fillId="3" borderId="1" xfId="0" applyNumberFormat="1" applyFont="1" applyFill="1" applyBorder="1" applyAlignment="1">
      <alignment horizontal="center" vertical="center"/>
    </xf>
    <xf numFmtId="164" fontId="27" fillId="3" borderId="1" xfId="4" applyFont="1" applyFill="1" applyBorder="1" applyAlignment="1">
      <alignment vertical="center"/>
    </xf>
    <xf numFmtId="39" fontId="29" fillId="0" borderId="2" xfId="4" applyNumberFormat="1" applyFont="1" applyBorder="1" applyAlignment="1">
      <alignment horizontal="center" vertical="center"/>
    </xf>
    <xf numFmtId="49" fontId="30" fillId="3" borderId="12" xfId="0" applyNumberFormat="1" applyFont="1" applyFill="1" applyBorder="1" applyAlignment="1">
      <alignment horizontal="center" vertical="center"/>
    </xf>
    <xf numFmtId="14" fontId="30" fillId="3" borderId="12" xfId="0" applyNumberFormat="1" applyFont="1" applyFill="1" applyBorder="1" applyAlignment="1">
      <alignment horizontal="center" vertical="center"/>
    </xf>
    <xf numFmtId="0" fontId="30" fillId="3" borderId="12" xfId="0" applyNumberFormat="1" applyFont="1" applyFill="1" applyBorder="1" applyAlignment="1">
      <alignment horizontal="center" vertical="center"/>
    </xf>
    <xf numFmtId="49" fontId="31" fillId="3" borderId="12" xfId="0" applyNumberFormat="1" applyFont="1" applyFill="1" applyBorder="1" applyAlignment="1">
      <alignment vertical="center"/>
    </xf>
    <xf numFmtId="0" fontId="29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8" fontId="8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9" fontId="8" fillId="0" borderId="1" xfId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2" fontId="7" fillId="0" borderId="1" xfId="0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/>
    <xf numFmtId="44" fontId="8" fillId="0" borderId="1" xfId="3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9" fontId="0" fillId="0" borderId="1" xfId="0" applyNumberForma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0" xfId="0" applyFont="1" applyFill="1" applyAlignment="1">
      <alignment vertical="top"/>
    </xf>
    <xf numFmtId="0" fontId="0" fillId="0" borderId="0" xfId="0" applyFill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44" fontId="8" fillId="0" borderId="1" xfId="3" applyFon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44" fontId="8" fillId="0" borderId="1" xfId="3" applyFont="1" applyFill="1" applyBorder="1" applyAlignment="1">
      <alignment horizontal="center" vertical="center"/>
    </xf>
    <xf numFmtId="9" fontId="0" fillId="0" borderId="1" xfId="0" applyNumberForma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44" fontId="7" fillId="0" borderId="2" xfId="3" applyFont="1" applyBorder="1" applyAlignment="1">
      <alignment horizontal="center" vertical="center" wrapText="1"/>
    </xf>
    <xf numFmtId="44" fontId="7" fillId="0" borderId="1" xfId="3" applyFont="1" applyBorder="1" applyAlignment="1">
      <alignment horizontal="center" vertical="center" wrapText="1"/>
    </xf>
    <xf numFmtId="8" fontId="8" fillId="0" borderId="2" xfId="0" applyNumberFormat="1" applyFont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44" fontId="8" fillId="0" borderId="1" xfId="3" applyFon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8" fontId="8" fillId="0" borderId="2" xfId="0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0" fontId="7" fillId="0" borderId="2" xfId="0" quotePrefix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4" fontId="7" fillId="0" borderId="1" xfId="0" quotePrefix="1" applyNumberFormat="1" applyFont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0" fontId="29" fillId="0" borderId="2" xfId="2" applyFont="1" applyFill="1" applyBorder="1" applyAlignment="1">
      <alignment horizontal="center" vertical="center" wrapText="1"/>
    </xf>
    <xf numFmtId="14" fontId="7" fillId="0" borderId="2" xfId="0" quotePrefix="1" applyNumberFormat="1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wrapText="1"/>
    </xf>
    <xf numFmtId="0" fontId="9" fillId="0" borderId="2" xfId="0" quotePrefix="1" applyFont="1" applyBorder="1" applyAlignment="1">
      <alignment horizontal="center"/>
    </xf>
    <xf numFmtId="0" fontId="9" fillId="0" borderId="2" xfId="0" quotePrefix="1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9" fillId="0" borderId="1" xfId="0" quotePrefix="1" applyFont="1" applyBorder="1" applyAlignment="1">
      <alignment horizontal="center"/>
    </xf>
    <xf numFmtId="0" fontId="9" fillId="0" borderId="1" xfId="0" quotePrefix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14" fontId="9" fillId="0" borderId="1" xfId="0" quotePrefix="1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2" fontId="8" fillId="0" borderId="1" xfId="1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9" fontId="8" fillId="0" borderId="1" xfId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9" fontId="8" fillId="0" borderId="2" xfId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2" fontId="8" fillId="0" borderId="2" xfId="1" applyNumberFormat="1" applyFont="1" applyBorder="1" applyAlignment="1">
      <alignment horizontal="center" vertical="center" wrapText="1"/>
    </xf>
    <xf numFmtId="0" fontId="40" fillId="2" borderId="8" xfId="0" applyFont="1" applyFill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8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9" fontId="9" fillId="0" borderId="1" xfId="1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2" fontId="9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/>
    </xf>
    <xf numFmtId="0" fontId="9" fillId="0" borderId="1" xfId="0" quotePrefix="1" applyFont="1" applyBorder="1" applyAlignment="1">
      <alignment horizontal="left" vertical="center"/>
    </xf>
    <xf numFmtId="2" fontId="9" fillId="0" borderId="1" xfId="1" applyNumberFormat="1" applyFont="1" applyBorder="1" applyAlignment="1">
      <alignment horizontal="center"/>
    </xf>
    <xf numFmtId="0" fontId="18" fillId="0" borderId="5" xfId="0" applyFont="1" applyBorder="1" applyAlignment="1">
      <alignment horizontal="left"/>
    </xf>
    <xf numFmtId="0" fontId="18" fillId="0" borderId="6" xfId="0" applyFont="1" applyBorder="1" applyAlignment="1">
      <alignment horizontal="left"/>
    </xf>
    <xf numFmtId="0" fontId="18" fillId="0" borderId="7" xfId="0" applyFont="1" applyBorder="1" applyAlignment="1">
      <alignment horizontal="left"/>
    </xf>
    <xf numFmtId="0" fontId="18" fillId="0" borderId="5" xfId="0" applyFont="1" applyFill="1" applyBorder="1" applyAlignment="1">
      <alignment horizontal="left"/>
    </xf>
    <xf numFmtId="0" fontId="18" fillId="0" borderId="6" xfId="0" applyFont="1" applyFill="1" applyBorder="1" applyAlignment="1">
      <alignment horizontal="left"/>
    </xf>
    <xf numFmtId="0" fontId="21" fillId="0" borderId="5" xfId="0" applyFont="1" applyFill="1" applyBorder="1" applyAlignment="1">
      <alignment horizontal="left"/>
    </xf>
    <xf numFmtId="0" fontId="21" fillId="0" borderId="6" xfId="0" applyFont="1" applyFill="1" applyBorder="1" applyAlignment="1">
      <alignment horizontal="left"/>
    </xf>
    <xf numFmtId="0" fontId="21" fillId="0" borderId="7" xfId="0" applyFont="1" applyFill="1" applyBorder="1" applyAlignment="1">
      <alignment horizontal="left"/>
    </xf>
    <xf numFmtId="0" fontId="18" fillId="0" borderId="7" xfId="0" applyFont="1" applyFill="1" applyBorder="1" applyAlignment="1">
      <alignment horizontal="left"/>
    </xf>
    <xf numFmtId="0" fontId="18" fillId="0" borderId="5" xfId="0" applyFont="1" applyBorder="1" applyAlignment="1">
      <alignment horizontal="left" vertical="top" wrapText="1"/>
    </xf>
    <xf numFmtId="0" fontId="18" fillId="0" borderId="6" xfId="0" applyFont="1" applyBorder="1" applyAlignment="1">
      <alignment horizontal="left" vertical="top" wrapText="1"/>
    </xf>
    <xf numFmtId="0" fontId="18" fillId="0" borderId="7" xfId="0" applyFont="1" applyBorder="1" applyAlignment="1">
      <alignment horizontal="left" vertical="top" wrapText="1"/>
    </xf>
    <xf numFmtId="0" fontId="10" fillId="0" borderId="0" xfId="0" applyFont="1" applyAlignment="1">
      <alignment horizontal="left"/>
    </xf>
  </cellXfs>
  <cellStyles count="5">
    <cellStyle name="Coma 2" xfId="4"/>
    <cellStyle name="Moneda" xfId="3" builtinId="4"/>
    <cellStyle name="Normal" xfId="0" builtinId="0"/>
    <cellStyle name="Normal 2" xfId="2"/>
    <cellStyle name="Percentat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D83"/>
  <sheetViews>
    <sheetView tabSelected="1" zoomScaleNormal="100" workbookViewId="0">
      <selection activeCell="C9" sqref="C9"/>
    </sheetView>
  </sheetViews>
  <sheetFormatPr defaultColWidth="11.453125" defaultRowHeight="14.5" x14ac:dyDescent="0.35"/>
  <cols>
    <col min="1" max="1" width="4.7265625" customWidth="1"/>
    <col min="2" max="2" width="25" customWidth="1"/>
    <col min="3" max="3" width="17" customWidth="1"/>
    <col min="4" max="4" width="15.54296875" customWidth="1"/>
    <col min="5" max="5" width="14" customWidth="1"/>
    <col min="6" max="7" width="25.54296875" customWidth="1"/>
    <col min="8" max="8" width="16.26953125" bestFit="1" customWidth="1"/>
    <col min="9" max="9" width="16.54296875" bestFit="1" customWidth="1"/>
    <col min="10" max="10" width="14.7265625" customWidth="1"/>
    <col min="11" max="11" width="19" bestFit="1" customWidth="1"/>
    <col min="12" max="12" width="18.26953125" bestFit="1" customWidth="1"/>
    <col min="13" max="13" width="7.453125" bestFit="1" customWidth="1"/>
    <col min="14" max="14" width="20.7265625" bestFit="1" customWidth="1"/>
    <col min="15" max="15" width="15.54296875" customWidth="1"/>
    <col min="16" max="16" width="17.54296875" customWidth="1"/>
    <col min="17" max="17" width="18.453125" bestFit="1" customWidth="1"/>
    <col min="18" max="18" width="19" customWidth="1"/>
    <col min="19" max="19" width="17.1796875" customWidth="1"/>
    <col min="20" max="20" width="25.54296875" customWidth="1"/>
    <col min="21" max="21" width="13.1796875" customWidth="1"/>
    <col min="22" max="22" width="17.81640625" customWidth="1"/>
    <col min="23" max="23" width="12.1796875" bestFit="1" customWidth="1"/>
    <col min="24" max="24" width="12.7265625" customWidth="1"/>
    <col min="25" max="25" width="9.81640625" customWidth="1"/>
    <col min="26" max="26" width="16" customWidth="1"/>
    <col min="27" max="27" width="17.81640625" customWidth="1"/>
    <col min="28" max="28" width="14.54296875" customWidth="1"/>
    <col min="29" max="30" width="25.54296875" customWidth="1"/>
  </cols>
  <sheetData>
    <row r="2" spans="2:28" ht="18.5" x14ac:dyDescent="0.45">
      <c r="B2" s="18" t="s">
        <v>13</v>
      </c>
      <c r="C2" s="1"/>
    </row>
    <row r="3" spans="2:28" x14ac:dyDescent="0.35">
      <c r="B3" s="23"/>
      <c r="C3" s="23"/>
      <c r="F3" s="23"/>
      <c r="Q3" s="23"/>
      <c r="R3" s="23"/>
      <c r="S3" s="23"/>
    </row>
    <row r="4" spans="2:28" ht="15.5" x14ac:dyDescent="0.35">
      <c r="B4" s="62" t="s">
        <v>12</v>
      </c>
      <c r="C4" s="420" t="s">
        <v>588</v>
      </c>
      <c r="D4" s="421"/>
      <c r="E4" s="422"/>
      <c r="Q4" s="23"/>
      <c r="R4" s="23"/>
      <c r="S4" s="23"/>
    </row>
    <row r="5" spans="2:28" ht="15.5" x14ac:dyDescent="0.35">
      <c r="B5" s="62" t="s">
        <v>20</v>
      </c>
      <c r="C5" s="420" t="s">
        <v>589</v>
      </c>
      <c r="D5" s="421"/>
      <c r="E5" s="136"/>
      <c r="Q5" s="23"/>
      <c r="R5" s="23"/>
      <c r="S5" s="23"/>
    </row>
    <row r="6" spans="2:28" ht="15.5" x14ac:dyDescent="0.35">
      <c r="B6" s="64" t="s">
        <v>19</v>
      </c>
      <c r="C6" s="420" t="s">
        <v>402</v>
      </c>
      <c r="D6" s="421"/>
      <c r="E6" s="136"/>
      <c r="Q6" s="23"/>
      <c r="R6" s="23"/>
      <c r="S6" s="23"/>
    </row>
    <row r="7" spans="2:28" ht="15.5" x14ac:dyDescent="0.35">
      <c r="B7" s="62" t="s">
        <v>32</v>
      </c>
      <c r="C7" s="137">
        <v>45482</v>
      </c>
      <c r="D7" s="138"/>
      <c r="E7" s="139"/>
      <c r="F7" s="41"/>
    </row>
    <row r="8" spans="2:28" ht="15" thickBot="1" x14ac:dyDescent="0.4">
      <c r="B8" s="104"/>
    </row>
    <row r="9" spans="2:28" ht="33.75" customHeight="1" thickBot="1" x14ac:dyDescent="0.4">
      <c r="B9" s="2" t="s">
        <v>344</v>
      </c>
      <c r="C9" s="2" t="s">
        <v>2</v>
      </c>
      <c r="D9" s="2" t="s">
        <v>381</v>
      </c>
      <c r="E9" s="2" t="s">
        <v>382</v>
      </c>
      <c r="F9" s="2" t="s">
        <v>383</v>
      </c>
      <c r="G9" s="2" t="s">
        <v>14</v>
      </c>
      <c r="H9" s="2" t="s">
        <v>18</v>
      </c>
      <c r="I9" s="2" t="s">
        <v>15</v>
      </c>
      <c r="J9" s="2" t="s">
        <v>10</v>
      </c>
      <c r="K9" s="2" t="s">
        <v>23</v>
      </c>
      <c r="L9" s="2" t="s">
        <v>16</v>
      </c>
      <c r="M9" s="19" t="s">
        <v>3</v>
      </c>
      <c r="N9" s="2" t="s">
        <v>11</v>
      </c>
      <c r="O9" s="19" t="s">
        <v>4</v>
      </c>
      <c r="P9" s="2" t="s">
        <v>5</v>
      </c>
      <c r="Q9" s="2" t="s">
        <v>24</v>
      </c>
      <c r="R9" s="2" t="s">
        <v>25</v>
      </c>
      <c r="S9" s="2" t="s">
        <v>26</v>
      </c>
      <c r="T9" s="269" t="s">
        <v>27</v>
      </c>
      <c r="U9" s="19" t="s">
        <v>6</v>
      </c>
      <c r="V9" s="2" t="s">
        <v>7</v>
      </c>
      <c r="W9" s="2" t="s">
        <v>28</v>
      </c>
      <c r="X9" s="2" t="s">
        <v>29</v>
      </c>
      <c r="Y9" s="2" t="s">
        <v>384</v>
      </c>
      <c r="Z9" s="2" t="s">
        <v>385</v>
      </c>
      <c r="AA9" s="3" t="s">
        <v>8</v>
      </c>
      <c r="AB9" s="3" t="s">
        <v>9</v>
      </c>
    </row>
    <row r="10" spans="2:28" ht="14.25" customHeight="1" x14ac:dyDescent="0.35">
      <c r="B10" s="275" t="s">
        <v>362</v>
      </c>
      <c r="C10" s="276">
        <v>79000815011994</v>
      </c>
      <c r="D10" s="277">
        <f>+(25422.36+2069+2069)*1.035</f>
        <v>30594.972599999997</v>
      </c>
      <c r="E10" s="277">
        <f>3848.58*1.035</f>
        <v>3983.2802999999994</v>
      </c>
      <c r="F10" s="277">
        <f>7838.46*1.035</f>
        <v>8112.8060999999998</v>
      </c>
      <c r="G10" s="277" t="s">
        <v>403</v>
      </c>
      <c r="H10" s="277">
        <f>2069*1.035</f>
        <v>2141.415</v>
      </c>
      <c r="I10" s="277">
        <f>2069*1.035</f>
        <v>2141.415</v>
      </c>
      <c r="J10" s="277">
        <f>+D10+E10+F10</f>
        <v>42691.059000000001</v>
      </c>
      <c r="K10" s="277">
        <f>+J10*0.32</f>
        <v>13661.13888</v>
      </c>
      <c r="L10" s="275" t="s">
        <v>404</v>
      </c>
      <c r="M10" s="278">
        <v>200</v>
      </c>
      <c r="N10" s="275" t="s">
        <v>405</v>
      </c>
      <c r="O10" s="279" t="s">
        <v>141</v>
      </c>
      <c r="P10" s="74"/>
      <c r="Q10" s="280">
        <v>1633</v>
      </c>
      <c r="R10" s="280">
        <v>94</v>
      </c>
      <c r="S10" s="280"/>
      <c r="T10" s="279" t="s">
        <v>406</v>
      </c>
      <c r="U10" s="278">
        <v>2</v>
      </c>
      <c r="V10" s="140" t="s">
        <v>43</v>
      </c>
      <c r="W10" s="281" t="s">
        <v>43</v>
      </c>
      <c r="X10" s="281" t="s">
        <v>43</v>
      </c>
      <c r="Y10" s="281" t="s">
        <v>43</v>
      </c>
      <c r="Z10" s="281" t="s">
        <v>43</v>
      </c>
      <c r="AA10" s="281" t="s">
        <v>43</v>
      </c>
      <c r="AB10" s="281" t="s">
        <v>43</v>
      </c>
    </row>
    <row r="11" spans="2:28" ht="14.25" customHeight="1" x14ac:dyDescent="0.35">
      <c r="B11" s="275" t="s">
        <v>362</v>
      </c>
      <c r="C11" s="276">
        <v>79000815011994</v>
      </c>
      <c r="D11" s="277">
        <f>+(25422.36+1952.79+1952.79)*1.035</f>
        <v>30354.4179</v>
      </c>
      <c r="E11" s="277">
        <f>4101.9*1.035</f>
        <v>4245.4664999999995</v>
      </c>
      <c r="F11" s="277">
        <f>4625.84*1.035</f>
        <v>4787.7443999999996</v>
      </c>
      <c r="G11" s="277" t="s">
        <v>407</v>
      </c>
      <c r="H11" s="277">
        <f>1952.79*1.035</f>
        <v>2021.1376499999999</v>
      </c>
      <c r="I11" s="277">
        <f>1952.79*1.035</f>
        <v>2021.1376499999999</v>
      </c>
      <c r="J11" s="277">
        <f t="shared" ref="J11:J62" si="0">+D11+E11+F11</f>
        <v>39387.628800000006</v>
      </c>
      <c r="K11" s="277">
        <f t="shared" ref="K11:K62" si="1">+J11*0.32</f>
        <v>12604.041216000001</v>
      </c>
      <c r="L11" s="275" t="s">
        <v>404</v>
      </c>
      <c r="M11" s="278">
        <v>100</v>
      </c>
      <c r="N11" s="275" t="s">
        <v>405</v>
      </c>
      <c r="O11" s="279" t="s">
        <v>135</v>
      </c>
      <c r="P11" s="74"/>
      <c r="Q11" s="280">
        <v>1734</v>
      </c>
      <c r="R11" s="280">
        <v>100</v>
      </c>
      <c r="S11" s="280"/>
      <c r="T11" s="279" t="s">
        <v>408</v>
      </c>
      <c r="U11" s="278">
        <v>2</v>
      </c>
      <c r="V11" s="140" t="s">
        <v>43</v>
      </c>
      <c r="W11" s="281" t="s">
        <v>43</v>
      </c>
      <c r="X11" s="281" t="s">
        <v>43</v>
      </c>
      <c r="Y11" s="281" t="s">
        <v>43</v>
      </c>
      <c r="Z11" s="281" t="s">
        <v>43</v>
      </c>
      <c r="AA11" s="281" t="s">
        <v>43</v>
      </c>
      <c r="AB11" s="281" t="s">
        <v>43</v>
      </c>
    </row>
    <row r="12" spans="2:28" ht="14.25" customHeight="1" x14ac:dyDescent="0.35">
      <c r="B12" s="275" t="s">
        <v>362</v>
      </c>
      <c r="C12" s="276">
        <v>79000815011994</v>
      </c>
      <c r="D12" s="277">
        <f>+(28207.8+2323.94+2323.94)*1.035</f>
        <v>34005.628799999999</v>
      </c>
      <c r="E12" s="277">
        <f>+(8528.4)*1.035</f>
        <v>8826.8939999999984</v>
      </c>
      <c r="F12" s="277">
        <f>+(19167.36+20000)*1.035</f>
        <v>40538.217599999996</v>
      </c>
      <c r="G12" s="277" t="s">
        <v>409</v>
      </c>
      <c r="H12" s="277">
        <f>2323.94*1.035</f>
        <v>2405.2779</v>
      </c>
      <c r="I12" s="277">
        <f>2323.94*1.035</f>
        <v>2405.2779</v>
      </c>
      <c r="J12" s="277">
        <f t="shared" si="0"/>
        <v>83370.740399999995</v>
      </c>
      <c r="K12" s="277">
        <f t="shared" si="1"/>
        <v>26678.636928</v>
      </c>
      <c r="L12" s="275" t="s">
        <v>404</v>
      </c>
      <c r="M12" s="278">
        <v>189</v>
      </c>
      <c r="N12" s="275" t="s">
        <v>405</v>
      </c>
      <c r="O12" s="279" t="s">
        <v>410</v>
      </c>
      <c r="P12" s="74"/>
      <c r="Q12" s="280">
        <v>1734</v>
      </c>
      <c r="R12" s="280">
        <v>100</v>
      </c>
      <c r="S12" s="280"/>
      <c r="T12" s="279" t="s">
        <v>411</v>
      </c>
      <c r="U12" s="278">
        <v>1</v>
      </c>
      <c r="V12" s="140" t="s">
        <v>43</v>
      </c>
      <c r="W12" s="281" t="s">
        <v>43</v>
      </c>
      <c r="X12" s="281" t="s">
        <v>43</v>
      </c>
      <c r="Y12" s="281" t="s">
        <v>43</v>
      </c>
      <c r="Z12" s="281" t="s">
        <v>43</v>
      </c>
      <c r="AA12" s="281" t="s">
        <v>43</v>
      </c>
      <c r="AB12" s="281" t="s">
        <v>43</v>
      </c>
    </row>
    <row r="13" spans="2:28" ht="14.25" customHeight="1" x14ac:dyDescent="0.35">
      <c r="B13" s="275" t="s">
        <v>362</v>
      </c>
      <c r="C13" s="276">
        <v>79000815011994</v>
      </c>
      <c r="D13" s="277">
        <f>+(17963.88+1458.87+1458.87)*1.035</f>
        <v>21612.476699999996</v>
      </c>
      <c r="E13" s="277">
        <f>1853.72*1.035</f>
        <v>1918.6001999999999</v>
      </c>
      <c r="F13" s="277">
        <f>5687.5*1.035</f>
        <v>5886.5625</v>
      </c>
      <c r="G13" s="277" t="s">
        <v>403</v>
      </c>
      <c r="H13" s="277">
        <f>1458.87*1.035</f>
        <v>1509.9304499999998</v>
      </c>
      <c r="I13" s="277">
        <f>1458.87*1.035</f>
        <v>1509.9304499999998</v>
      </c>
      <c r="J13" s="277">
        <f t="shared" si="0"/>
        <v>29417.639399999996</v>
      </c>
      <c r="K13" s="277">
        <f t="shared" si="1"/>
        <v>9413.6446079999987</v>
      </c>
      <c r="L13" s="275" t="s">
        <v>404</v>
      </c>
      <c r="M13" s="278">
        <v>289</v>
      </c>
      <c r="N13" s="275" t="s">
        <v>405</v>
      </c>
      <c r="O13" s="279" t="s">
        <v>412</v>
      </c>
      <c r="P13" s="74"/>
      <c r="Q13" s="280">
        <v>1214</v>
      </c>
      <c r="R13" s="280">
        <v>70</v>
      </c>
      <c r="S13" s="280"/>
      <c r="T13" s="279" t="s">
        <v>406</v>
      </c>
      <c r="U13" s="278">
        <v>2</v>
      </c>
      <c r="V13" s="140" t="s">
        <v>43</v>
      </c>
      <c r="W13" s="281" t="s">
        <v>43</v>
      </c>
      <c r="X13" s="281" t="s">
        <v>43</v>
      </c>
      <c r="Y13" s="281" t="s">
        <v>43</v>
      </c>
      <c r="Z13" s="281" t="s">
        <v>43</v>
      </c>
      <c r="AA13" s="281" t="s">
        <v>43</v>
      </c>
      <c r="AB13" s="281" t="s">
        <v>43</v>
      </c>
    </row>
    <row r="14" spans="2:28" ht="14.25" customHeight="1" x14ac:dyDescent="0.35">
      <c r="B14" s="275" t="s">
        <v>362</v>
      </c>
      <c r="C14" s="276">
        <v>79000815011994</v>
      </c>
      <c r="D14" s="277">
        <f>3278.4*1.035</f>
        <v>3393.1439999999998</v>
      </c>
      <c r="E14" s="277"/>
      <c r="F14" s="277">
        <f>837.36*1.035</f>
        <v>866.66759999999999</v>
      </c>
      <c r="G14" s="277" t="s">
        <v>413</v>
      </c>
      <c r="H14" s="277"/>
      <c r="I14" s="277"/>
      <c r="J14" s="277">
        <f t="shared" si="0"/>
        <v>4259.8116</v>
      </c>
      <c r="K14" s="277">
        <f t="shared" si="1"/>
        <v>1363.1397119999999</v>
      </c>
      <c r="L14" s="275" t="s">
        <v>404</v>
      </c>
      <c r="M14" s="278">
        <v>300</v>
      </c>
      <c r="N14" s="275" t="s">
        <v>405</v>
      </c>
      <c r="O14" s="282">
        <v>45462</v>
      </c>
      <c r="P14" s="74"/>
      <c r="Q14" s="280">
        <v>200</v>
      </c>
      <c r="R14" s="280">
        <v>11.53</v>
      </c>
      <c r="S14" s="280"/>
      <c r="T14" s="279" t="s">
        <v>414</v>
      </c>
      <c r="U14" s="278">
        <v>7</v>
      </c>
      <c r="V14" s="140" t="s">
        <v>43</v>
      </c>
      <c r="W14" s="281" t="s">
        <v>43</v>
      </c>
      <c r="X14" s="281" t="s">
        <v>43</v>
      </c>
      <c r="Y14" s="281" t="s">
        <v>43</v>
      </c>
      <c r="Z14" s="281" t="s">
        <v>43</v>
      </c>
      <c r="AA14" s="281" t="s">
        <v>43</v>
      </c>
      <c r="AB14" s="281" t="s">
        <v>43</v>
      </c>
    </row>
    <row r="15" spans="2:28" ht="14.25" customHeight="1" x14ac:dyDescent="0.35">
      <c r="B15" s="275" t="s">
        <v>362</v>
      </c>
      <c r="C15" s="276">
        <v>79000815011994</v>
      </c>
      <c r="D15" s="277">
        <f>+(16247.64+1327.26+1327.26)*1.035</f>
        <v>19563.735599999996</v>
      </c>
      <c r="E15" s="277">
        <f>1705*1.035</f>
        <v>1764.675</v>
      </c>
      <c r="F15" s="277">
        <f>854.78*1.035</f>
        <v>884.69729999999993</v>
      </c>
      <c r="G15" s="277" t="s">
        <v>415</v>
      </c>
      <c r="H15" s="277">
        <f>1327.26*1.035</f>
        <v>1373.7140999999999</v>
      </c>
      <c r="I15" s="277">
        <f>1327.26*1.035</f>
        <v>1373.7140999999999</v>
      </c>
      <c r="J15" s="277">
        <f t="shared" si="0"/>
        <v>22213.107899999995</v>
      </c>
      <c r="K15" s="277">
        <f t="shared" si="1"/>
        <v>7108.1945279999991</v>
      </c>
      <c r="L15" s="275" t="s">
        <v>404</v>
      </c>
      <c r="M15" s="278">
        <v>189</v>
      </c>
      <c r="N15" s="275" t="s">
        <v>405</v>
      </c>
      <c r="O15" s="279" t="s">
        <v>416</v>
      </c>
      <c r="P15" s="74"/>
      <c r="Q15" s="280">
        <v>1734</v>
      </c>
      <c r="R15" s="280">
        <v>100</v>
      </c>
      <c r="S15" s="280"/>
      <c r="T15" s="279" t="s">
        <v>417</v>
      </c>
      <c r="U15" s="278">
        <v>10</v>
      </c>
      <c r="V15" s="140" t="s">
        <v>43</v>
      </c>
      <c r="W15" s="281" t="s">
        <v>43</v>
      </c>
      <c r="X15" s="281" t="s">
        <v>43</v>
      </c>
      <c r="Y15" s="281" t="s">
        <v>43</v>
      </c>
      <c r="Z15" s="281" t="s">
        <v>43</v>
      </c>
      <c r="AA15" s="281" t="s">
        <v>43</v>
      </c>
      <c r="AB15" s="281" t="s">
        <v>43</v>
      </c>
    </row>
    <row r="16" spans="2:28" ht="14.25" customHeight="1" x14ac:dyDescent="0.35">
      <c r="B16" s="275" t="s">
        <v>362</v>
      </c>
      <c r="C16" s="276">
        <v>79000815011994</v>
      </c>
      <c r="D16" s="277">
        <f>+(25422.36+2175.5+2175.5)*1.035</f>
        <v>30815.427599999999</v>
      </c>
      <c r="E16" s="277">
        <f>6626.2*1.035</f>
        <v>6858.1169999999993</v>
      </c>
      <c r="F16" s="277">
        <f>+(14006.74+2219)*1.035</f>
        <v>16793.640899999999</v>
      </c>
      <c r="G16" s="277" t="s">
        <v>418</v>
      </c>
      <c r="H16" s="277">
        <f>2175.5*1.035</f>
        <v>2251.6424999999999</v>
      </c>
      <c r="I16" s="277">
        <f>2175.5*1.035</f>
        <v>2251.6424999999999</v>
      </c>
      <c r="J16" s="277">
        <f t="shared" si="0"/>
        <v>54467.1855</v>
      </c>
      <c r="K16" s="277">
        <f t="shared" si="1"/>
        <v>17429.499360000002</v>
      </c>
      <c r="L16" s="275" t="s">
        <v>404</v>
      </c>
      <c r="M16" s="278">
        <v>189</v>
      </c>
      <c r="N16" s="275" t="s">
        <v>405</v>
      </c>
      <c r="O16" s="279" t="s">
        <v>419</v>
      </c>
      <c r="P16" s="74"/>
      <c r="Q16" s="280">
        <v>1734</v>
      </c>
      <c r="R16" s="280">
        <v>100</v>
      </c>
      <c r="S16" s="280"/>
      <c r="T16" s="279" t="s">
        <v>406</v>
      </c>
      <c r="U16" s="278">
        <v>2</v>
      </c>
      <c r="V16" s="140" t="s">
        <v>43</v>
      </c>
      <c r="W16" s="281" t="s">
        <v>43</v>
      </c>
      <c r="X16" s="281" t="s">
        <v>43</v>
      </c>
      <c r="Y16" s="281" t="s">
        <v>43</v>
      </c>
      <c r="Z16" s="281" t="s">
        <v>43</v>
      </c>
      <c r="AA16" s="281" t="s">
        <v>43</v>
      </c>
      <c r="AB16" s="281" t="s">
        <v>43</v>
      </c>
    </row>
    <row r="17" spans="2:28" ht="14.25" customHeight="1" x14ac:dyDescent="0.35">
      <c r="B17" s="275" t="s">
        <v>362</v>
      </c>
      <c r="C17" s="276">
        <v>79000815011994</v>
      </c>
      <c r="D17" s="277">
        <f>+(27151.92+2262.66+2262.66)*1.035</f>
        <v>32785.943399999996</v>
      </c>
      <c r="E17" s="277">
        <f>3798.96*1.035</f>
        <v>3931.9235999999996</v>
      </c>
      <c r="F17" s="277">
        <f>+(6317.04+5000)*1.035</f>
        <v>11713.136399999999</v>
      </c>
      <c r="G17" s="277" t="s">
        <v>420</v>
      </c>
      <c r="H17" s="277">
        <f>2262.66*1.035</f>
        <v>2341.8530999999998</v>
      </c>
      <c r="I17" s="277">
        <f>2262.66*1.035</f>
        <v>2341.8530999999998</v>
      </c>
      <c r="J17" s="277">
        <f t="shared" si="0"/>
        <v>48431.003400000001</v>
      </c>
      <c r="K17" s="277">
        <f t="shared" si="1"/>
        <v>15497.921088000001</v>
      </c>
      <c r="L17" s="275" t="s">
        <v>404</v>
      </c>
      <c r="M17" s="278">
        <v>189</v>
      </c>
      <c r="N17" s="275" t="s">
        <v>405</v>
      </c>
      <c r="O17" s="279" t="s">
        <v>421</v>
      </c>
      <c r="P17" s="74"/>
      <c r="Q17" s="280">
        <v>1734</v>
      </c>
      <c r="R17" s="280">
        <v>100</v>
      </c>
      <c r="S17" s="280"/>
      <c r="T17" s="279" t="s">
        <v>411</v>
      </c>
      <c r="U17" s="278">
        <v>1</v>
      </c>
      <c r="V17" s="140" t="s">
        <v>43</v>
      </c>
      <c r="W17" s="281" t="s">
        <v>43</v>
      </c>
      <c r="X17" s="281" t="s">
        <v>43</v>
      </c>
      <c r="Y17" s="281" t="s">
        <v>43</v>
      </c>
      <c r="Z17" s="281" t="s">
        <v>43</v>
      </c>
      <c r="AA17" s="281" t="s">
        <v>43</v>
      </c>
      <c r="AB17" s="281" t="s">
        <v>43</v>
      </c>
    </row>
    <row r="18" spans="2:28" ht="14.25" customHeight="1" x14ac:dyDescent="0.35">
      <c r="B18" s="275" t="s">
        <v>362</v>
      </c>
      <c r="C18" s="276">
        <v>79000815011994</v>
      </c>
      <c r="D18" s="277">
        <f>+(15758.16+1286.47+1286.47)*1.035</f>
        <v>18972.6885</v>
      </c>
      <c r="E18" s="277">
        <f>2086.83*1.035</f>
        <v>2159.8690499999998</v>
      </c>
      <c r="F18" s="277">
        <f>2218.08*1.035</f>
        <v>2295.7127999999998</v>
      </c>
      <c r="G18" s="277" t="s">
        <v>407</v>
      </c>
      <c r="H18" s="277">
        <f>1286.47*1.035</f>
        <v>1331.4964499999999</v>
      </c>
      <c r="I18" s="277">
        <f>1286.47*1.035</f>
        <v>1331.4964499999999</v>
      </c>
      <c r="J18" s="277">
        <f t="shared" si="0"/>
        <v>23428.270350000003</v>
      </c>
      <c r="K18" s="277">
        <f t="shared" si="1"/>
        <v>7497.0465120000008</v>
      </c>
      <c r="L18" s="275" t="s">
        <v>404</v>
      </c>
      <c r="M18" s="278">
        <v>200</v>
      </c>
      <c r="N18" s="275" t="s">
        <v>405</v>
      </c>
      <c r="O18" s="279" t="s">
        <v>422</v>
      </c>
      <c r="P18" s="74"/>
      <c r="Q18" s="280">
        <v>1647.3</v>
      </c>
      <c r="R18" s="280">
        <v>95</v>
      </c>
      <c r="S18" s="280"/>
      <c r="T18" s="279" t="s">
        <v>414</v>
      </c>
      <c r="U18" s="278">
        <v>7</v>
      </c>
      <c r="V18" s="140" t="s">
        <v>43</v>
      </c>
      <c r="W18" s="281" t="s">
        <v>43</v>
      </c>
      <c r="X18" s="281" t="s">
        <v>43</v>
      </c>
      <c r="Y18" s="281" t="s">
        <v>43</v>
      </c>
      <c r="Z18" s="281" t="s">
        <v>43</v>
      </c>
      <c r="AA18" s="281" t="s">
        <v>43</v>
      </c>
      <c r="AB18" s="281" t="s">
        <v>43</v>
      </c>
    </row>
    <row r="19" spans="2:28" ht="14.25" customHeight="1" x14ac:dyDescent="0.35">
      <c r="B19" s="275" t="s">
        <v>362</v>
      </c>
      <c r="C19" s="276">
        <v>79000815011994</v>
      </c>
      <c r="D19" s="277">
        <f>+(18181.08+1503.68+1503.68)*1.035</f>
        <v>21930.035400000001</v>
      </c>
      <c r="E19" s="277">
        <f>2938.8*1.035</f>
        <v>3041.6579999999999</v>
      </c>
      <c r="F19" s="277">
        <f>6316.22*1.035</f>
        <v>6537.2876999999999</v>
      </c>
      <c r="G19" s="277" t="s">
        <v>403</v>
      </c>
      <c r="H19" s="277">
        <f>1503.68*1.035</f>
        <v>1556.3088</v>
      </c>
      <c r="I19" s="277">
        <f>1503.68*1.035</f>
        <v>1556.3088</v>
      </c>
      <c r="J19" s="277">
        <f t="shared" si="0"/>
        <v>31508.981100000001</v>
      </c>
      <c r="K19" s="277">
        <f t="shared" si="1"/>
        <v>10082.873952</v>
      </c>
      <c r="L19" s="275" t="s">
        <v>404</v>
      </c>
      <c r="M19" s="278">
        <v>189</v>
      </c>
      <c r="N19" s="275" t="s">
        <v>405</v>
      </c>
      <c r="O19" s="279" t="s">
        <v>423</v>
      </c>
      <c r="P19" s="74"/>
      <c r="Q19" s="280">
        <v>1734</v>
      </c>
      <c r="R19" s="280">
        <v>100</v>
      </c>
      <c r="S19" s="280"/>
      <c r="T19" s="279" t="s">
        <v>424</v>
      </c>
      <c r="U19" s="278">
        <v>7</v>
      </c>
      <c r="V19" s="140" t="s">
        <v>43</v>
      </c>
      <c r="W19" s="281" t="s">
        <v>43</v>
      </c>
      <c r="X19" s="281" t="s">
        <v>43</v>
      </c>
      <c r="Y19" s="281" t="s">
        <v>43</v>
      </c>
      <c r="Z19" s="281" t="s">
        <v>43</v>
      </c>
      <c r="AA19" s="281" t="s">
        <v>43</v>
      </c>
      <c r="AB19" s="281" t="s">
        <v>43</v>
      </c>
    </row>
    <row r="20" spans="2:28" ht="14.25" customHeight="1" x14ac:dyDescent="0.35">
      <c r="B20" s="275" t="s">
        <v>362</v>
      </c>
      <c r="C20" s="276">
        <v>79000815011994</v>
      </c>
      <c r="D20" s="277">
        <f>+(25422.36+2241.89+2241.89)*1.035</f>
        <v>30952.854899999998</v>
      </c>
      <c r="E20" s="277">
        <f>4964.78*1.035</f>
        <v>5138.5472999999993</v>
      </c>
      <c r="F20" s="277">
        <f>8634.22*1.035</f>
        <v>8936.4176999999981</v>
      </c>
      <c r="G20" s="277" t="s">
        <v>403</v>
      </c>
      <c r="H20" s="277">
        <f>2241.89*1.035</f>
        <v>2320.3561499999996</v>
      </c>
      <c r="I20" s="277">
        <f>2241.89*1.035</f>
        <v>2320.3561499999996</v>
      </c>
      <c r="J20" s="277">
        <f t="shared" si="0"/>
        <v>45027.819899999995</v>
      </c>
      <c r="K20" s="277">
        <f t="shared" si="1"/>
        <v>14408.902367999999</v>
      </c>
      <c r="L20" s="275" t="s">
        <v>404</v>
      </c>
      <c r="M20" s="278">
        <v>100</v>
      </c>
      <c r="N20" s="275" t="s">
        <v>405</v>
      </c>
      <c r="O20" s="279" t="s">
        <v>425</v>
      </c>
      <c r="P20" s="74"/>
      <c r="Q20" s="280">
        <v>1726.5</v>
      </c>
      <c r="R20" s="280">
        <v>100</v>
      </c>
      <c r="S20" s="280"/>
      <c r="T20" s="279" t="s">
        <v>406</v>
      </c>
      <c r="U20" s="278">
        <v>2</v>
      </c>
      <c r="V20" s="140" t="s">
        <v>43</v>
      </c>
      <c r="W20" s="281" t="s">
        <v>43</v>
      </c>
      <c r="X20" s="281" t="s">
        <v>43</v>
      </c>
      <c r="Y20" s="281" t="s">
        <v>43</v>
      </c>
      <c r="Z20" s="281" t="s">
        <v>43</v>
      </c>
      <c r="AA20" s="281" t="s">
        <v>43</v>
      </c>
      <c r="AB20" s="281" t="s">
        <v>43</v>
      </c>
    </row>
    <row r="21" spans="2:28" ht="14.25" customHeight="1" x14ac:dyDescent="0.35">
      <c r="B21" s="275" t="s">
        <v>362</v>
      </c>
      <c r="C21" s="276">
        <v>79000815011994</v>
      </c>
      <c r="D21" s="277">
        <f>+(26295.48+2156.11+2156.11)*1.035</f>
        <v>31678.969499999999</v>
      </c>
      <c r="E21" s="277"/>
      <c r="F21" s="277">
        <f>+(35606.16+(10000-2164.58-2164.58)+10000)*1.035</f>
        <v>53071.694999999992</v>
      </c>
      <c r="G21" s="277" t="s">
        <v>426</v>
      </c>
      <c r="H21" s="277">
        <f>2164.58*1.035</f>
        <v>2240.3402999999998</v>
      </c>
      <c r="I21" s="277">
        <f>2164.58*1.035</f>
        <v>2240.3402999999998</v>
      </c>
      <c r="J21" s="277">
        <f t="shared" si="0"/>
        <v>84750.664499999984</v>
      </c>
      <c r="K21" s="277">
        <f t="shared" si="1"/>
        <v>27120.212639999994</v>
      </c>
      <c r="L21" s="275" t="s">
        <v>404</v>
      </c>
      <c r="M21" s="278">
        <v>100</v>
      </c>
      <c r="N21" s="275" t="s">
        <v>405</v>
      </c>
      <c r="O21" s="279" t="s">
        <v>427</v>
      </c>
      <c r="P21" s="74"/>
      <c r="Q21" s="280">
        <v>1734</v>
      </c>
      <c r="R21" s="280">
        <v>100</v>
      </c>
      <c r="S21" s="280"/>
      <c r="T21" s="279" t="s">
        <v>428</v>
      </c>
      <c r="U21" s="278">
        <v>1</v>
      </c>
      <c r="V21" s="140" t="s">
        <v>36</v>
      </c>
      <c r="W21" s="281" t="s">
        <v>43</v>
      </c>
      <c r="X21" s="281" t="s">
        <v>43</v>
      </c>
      <c r="Y21" s="281" t="s">
        <v>43</v>
      </c>
      <c r="Z21" s="281" t="s">
        <v>43</v>
      </c>
      <c r="AA21" s="281" t="s">
        <v>43</v>
      </c>
      <c r="AB21" s="281" t="s">
        <v>43</v>
      </c>
    </row>
    <row r="22" spans="2:28" ht="14.25" customHeight="1" x14ac:dyDescent="0.35">
      <c r="B22" s="275" t="s">
        <v>362</v>
      </c>
      <c r="C22" s="276">
        <v>79000815011994</v>
      </c>
      <c r="D22" s="277">
        <f>+(17064.96+1395.37+1395.37)*1.035</f>
        <v>20550.649499999996</v>
      </c>
      <c r="E22" s="277">
        <f>2346.5*1.035</f>
        <v>2428.6274999999996</v>
      </c>
      <c r="F22" s="277">
        <f>5923.48*1.035</f>
        <v>6130.8017999999993</v>
      </c>
      <c r="G22" s="277" t="s">
        <v>403</v>
      </c>
      <c r="H22" s="277">
        <f>1395.37*1.035</f>
        <v>1444.2079499999998</v>
      </c>
      <c r="I22" s="277">
        <f>1395.37*1.035</f>
        <v>1444.2079499999998</v>
      </c>
      <c r="J22" s="277">
        <f t="shared" si="0"/>
        <v>29110.078799999996</v>
      </c>
      <c r="K22" s="277">
        <f t="shared" si="1"/>
        <v>9315.2252159999989</v>
      </c>
      <c r="L22" s="275" t="s">
        <v>404</v>
      </c>
      <c r="M22" s="278">
        <v>289</v>
      </c>
      <c r="N22" s="275" t="s">
        <v>405</v>
      </c>
      <c r="O22" s="279" t="s">
        <v>429</v>
      </c>
      <c r="P22" s="74"/>
      <c r="Q22" s="280">
        <v>1641</v>
      </c>
      <c r="R22" s="280">
        <v>94.8</v>
      </c>
      <c r="S22" s="280"/>
      <c r="T22" s="279" t="s">
        <v>424</v>
      </c>
      <c r="U22" s="278">
        <v>7</v>
      </c>
      <c r="V22" s="140" t="s">
        <v>43</v>
      </c>
      <c r="W22" s="281" t="s">
        <v>43</v>
      </c>
      <c r="X22" s="281" t="s">
        <v>43</v>
      </c>
      <c r="Y22" s="281" t="s">
        <v>43</v>
      </c>
      <c r="Z22" s="281" t="s">
        <v>43</v>
      </c>
      <c r="AA22" s="281" t="s">
        <v>43</v>
      </c>
      <c r="AB22" s="281" t="s">
        <v>43</v>
      </c>
    </row>
    <row r="23" spans="2:28" ht="14.25" customHeight="1" x14ac:dyDescent="0.35">
      <c r="B23" s="275" t="s">
        <v>362</v>
      </c>
      <c r="C23" s="276">
        <v>79000815011994</v>
      </c>
      <c r="D23" s="277">
        <f>+(25422.36+2241.89+2241.89)*1.035</f>
        <v>30952.854899999998</v>
      </c>
      <c r="E23" s="277">
        <f>6090.68*1.035</f>
        <v>6303.8537999999999</v>
      </c>
      <c r="F23" s="277">
        <f>8690.62*1.035</f>
        <v>8994.7916999999998</v>
      </c>
      <c r="G23" s="277" t="s">
        <v>403</v>
      </c>
      <c r="H23" s="277">
        <f>2241.89*1.035</f>
        <v>2320.3561499999996</v>
      </c>
      <c r="I23" s="277">
        <f>2241.89*1.035</f>
        <v>2320.3561499999996</v>
      </c>
      <c r="J23" s="277">
        <f t="shared" si="0"/>
        <v>46251.500399999997</v>
      </c>
      <c r="K23" s="277">
        <f t="shared" si="1"/>
        <v>14800.480127999999</v>
      </c>
      <c r="L23" s="275" t="s">
        <v>404</v>
      </c>
      <c r="M23" s="278">
        <v>100</v>
      </c>
      <c r="N23" s="275" t="s">
        <v>405</v>
      </c>
      <c r="O23" s="279" t="s">
        <v>430</v>
      </c>
      <c r="P23" s="74"/>
      <c r="Q23" s="280">
        <v>1727</v>
      </c>
      <c r="R23" s="280">
        <v>100</v>
      </c>
      <c r="S23" s="280"/>
      <c r="T23" s="279" t="s">
        <v>406</v>
      </c>
      <c r="U23" s="278">
        <v>2</v>
      </c>
      <c r="V23" s="140" t="s">
        <v>43</v>
      </c>
      <c r="W23" s="281" t="s">
        <v>43</v>
      </c>
      <c r="X23" s="281" t="s">
        <v>43</v>
      </c>
      <c r="Y23" s="281" t="s">
        <v>43</v>
      </c>
      <c r="Z23" s="281" t="s">
        <v>43</v>
      </c>
      <c r="AA23" s="281" t="s">
        <v>43</v>
      </c>
      <c r="AB23" s="281" t="s">
        <v>43</v>
      </c>
    </row>
    <row r="24" spans="2:28" ht="14.25" customHeight="1" x14ac:dyDescent="0.35">
      <c r="B24" s="275" t="s">
        <v>362</v>
      </c>
      <c r="C24" s="276">
        <v>79000815011994</v>
      </c>
      <c r="D24" s="277">
        <f>+(10557.36+853.07+853.07)*1.035</f>
        <v>12692.7225</v>
      </c>
      <c r="E24" s="277">
        <f>475*1.035</f>
        <v>491.62499999999994</v>
      </c>
      <c r="F24" s="277">
        <f>591.14*1.035</f>
        <v>611.82989999999995</v>
      </c>
      <c r="G24" s="277" t="s">
        <v>407</v>
      </c>
      <c r="H24" s="277">
        <f>853.07*1.035</f>
        <v>882.92745000000002</v>
      </c>
      <c r="I24" s="277">
        <f>853.07*1.035</f>
        <v>882.92745000000002</v>
      </c>
      <c r="J24" s="277">
        <f t="shared" si="0"/>
        <v>13796.1774</v>
      </c>
      <c r="K24" s="277">
        <f t="shared" si="1"/>
        <v>4414.7767680000006</v>
      </c>
      <c r="L24" s="275" t="s">
        <v>404</v>
      </c>
      <c r="M24" s="278">
        <v>289</v>
      </c>
      <c r="N24" s="275" t="s">
        <v>405</v>
      </c>
      <c r="O24" s="279" t="s">
        <v>431</v>
      </c>
      <c r="P24" s="74"/>
      <c r="Q24" s="280">
        <v>1213.8</v>
      </c>
      <c r="R24" s="280">
        <v>70</v>
      </c>
      <c r="S24" s="280"/>
      <c r="T24" s="279" t="s">
        <v>432</v>
      </c>
      <c r="U24" s="278">
        <v>10</v>
      </c>
      <c r="V24" s="140" t="s">
        <v>43</v>
      </c>
      <c r="W24" s="281" t="s">
        <v>43</v>
      </c>
      <c r="X24" s="281" t="s">
        <v>43</v>
      </c>
      <c r="Y24" s="281" t="s">
        <v>43</v>
      </c>
      <c r="Z24" s="281" t="s">
        <v>43</v>
      </c>
      <c r="AA24" s="281" t="s">
        <v>43</v>
      </c>
      <c r="AB24" s="281" t="s">
        <v>43</v>
      </c>
    </row>
    <row r="25" spans="2:28" ht="14.25" customHeight="1" x14ac:dyDescent="0.35">
      <c r="B25" s="275" t="s">
        <v>362</v>
      </c>
      <c r="C25" s="276">
        <v>79000815011994</v>
      </c>
      <c r="D25" s="277">
        <f>+(17065.44+2790.72+2790.72)*1.035</f>
        <v>23439.520799999998</v>
      </c>
      <c r="E25" s="277"/>
      <c r="F25" s="277">
        <f>10645.44*1.035</f>
        <v>11018.0304</v>
      </c>
      <c r="G25" s="277" t="s">
        <v>433</v>
      </c>
      <c r="H25" s="277">
        <f>2790.72*1.035</f>
        <v>2888.3951999999995</v>
      </c>
      <c r="I25" s="277">
        <f>2790.72*1.035</f>
        <v>2888.3951999999995</v>
      </c>
      <c r="J25" s="277">
        <f t="shared" si="0"/>
        <v>34457.551200000002</v>
      </c>
      <c r="K25" s="277">
        <f t="shared" si="1"/>
        <v>11026.416384</v>
      </c>
      <c r="L25" s="275" t="s">
        <v>404</v>
      </c>
      <c r="M25" s="278">
        <v>100</v>
      </c>
      <c r="N25" s="275" t="s">
        <v>405</v>
      </c>
      <c r="O25" s="279" t="s">
        <v>434</v>
      </c>
      <c r="P25" s="74"/>
      <c r="Q25" s="280">
        <v>1734</v>
      </c>
      <c r="R25" s="280">
        <v>100</v>
      </c>
      <c r="S25" s="280"/>
      <c r="T25" s="279" t="s">
        <v>435</v>
      </c>
      <c r="U25" s="278">
        <v>7</v>
      </c>
      <c r="V25" s="140" t="s">
        <v>36</v>
      </c>
      <c r="W25" s="281" t="s">
        <v>43</v>
      </c>
      <c r="X25" s="281" t="s">
        <v>43</v>
      </c>
      <c r="Y25" s="281" t="s">
        <v>43</v>
      </c>
      <c r="Z25" s="281" t="s">
        <v>43</v>
      </c>
      <c r="AA25" s="281" t="s">
        <v>43</v>
      </c>
      <c r="AB25" s="281" t="s">
        <v>43</v>
      </c>
    </row>
    <row r="26" spans="2:28" ht="14.25" customHeight="1" x14ac:dyDescent="0.35">
      <c r="B26" s="275" t="s">
        <v>362</v>
      </c>
      <c r="C26" s="276">
        <v>79000815011994</v>
      </c>
      <c r="D26" s="277">
        <f>+(8546.76+679.79+679.79)*1.035</f>
        <v>10253.061899999999</v>
      </c>
      <c r="E26" s="277">
        <f>2554*1.035</f>
        <v>2643.39</v>
      </c>
      <c r="F26" s="277">
        <f>+(2598.3+1666)*1.035</f>
        <v>4413.5505000000003</v>
      </c>
      <c r="G26" s="277" t="s">
        <v>436</v>
      </c>
      <c r="H26" s="277">
        <f>679.79*1.035</f>
        <v>703.58264999999994</v>
      </c>
      <c r="I26" s="277">
        <f>679.79*1.035</f>
        <v>703.58264999999994</v>
      </c>
      <c r="J26" s="277">
        <f t="shared" si="0"/>
        <v>17310.002399999998</v>
      </c>
      <c r="K26" s="277">
        <f t="shared" si="1"/>
        <v>5539.2007679999997</v>
      </c>
      <c r="L26" s="275" t="s">
        <v>404</v>
      </c>
      <c r="M26" s="278">
        <v>200</v>
      </c>
      <c r="N26" s="275" t="s">
        <v>405</v>
      </c>
      <c r="O26" s="279" t="s">
        <v>437</v>
      </c>
      <c r="P26" s="74"/>
      <c r="Q26" s="280">
        <v>867</v>
      </c>
      <c r="R26" s="280">
        <v>50</v>
      </c>
      <c r="S26" s="280"/>
      <c r="T26" s="279" t="s">
        <v>414</v>
      </c>
      <c r="U26" s="278">
        <v>7</v>
      </c>
      <c r="V26" s="140" t="s">
        <v>43</v>
      </c>
      <c r="W26" s="281" t="s">
        <v>43</v>
      </c>
      <c r="X26" s="281" t="s">
        <v>43</v>
      </c>
      <c r="Y26" s="281" t="s">
        <v>43</v>
      </c>
      <c r="Z26" s="281" t="s">
        <v>43</v>
      </c>
      <c r="AA26" s="281" t="s">
        <v>43</v>
      </c>
      <c r="AB26" s="281" t="s">
        <v>43</v>
      </c>
    </row>
    <row r="27" spans="2:28" ht="14.25" customHeight="1" x14ac:dyDescent="0.35">
      <c r="B27" s="275" t="s">
        <v>362</v>
      </c>
      <c r="C27" s="276">
        <v>79000815011994</v>
      </c>
      <c r="D27" s="277">
        <f>+(25422.36+2185.76+2185.76)*1.035</f>
        <v>30836.665800000002</v>
      </c>
      <c r="E27" s="277">
        <f>6754*1.035</f>
        <v>6990.3899999999994</v>
      </c>
      <c r="F27" s="277">
        <f>8610.58*1.035</f>
        <v>8911.9502999999986</v>
      </c>
      <c r="G27" s="277" t="s">
        <v>403</v>
      </c>
      <c r="H27" s="277">
        <f>2185.76*1.035</f>
        <v>2262.2616000000003</v>
      </c>
      <c r="I27" s="277">
        <f>2185.76*1.035</f>
        <v>2262.2616000000003</v>
      </c>
      <c r="J27" s="277">
        <f t="shared" si="0"/>
        <v>46739.006099999999</v>
      </c>
      <c r="K27" s="277">
        <f t="shared" si="1"/>
        <v>14956.481952</v>
      </c>
      <c r="L27" s="275" t="s">
        <v>404</v>
      </c>
      <c r="M27" s="278">
        <v>189</v>
      </c>
      <c r="N27" s="275" t="s">
        <v>405</v>
      </c>
      <c r="O27" s="279" t="s">
        <v>438</v>
      </c>
      <c r="P27" s="74"/>
      <c r="Q27" s="280">
        <v>1734</v>
      </c>
      <c r="R27" s="280">
        <v>100</v>
      </c>
      <c r="S27" s="280"/>
      <c r="T27" s="279" t="s">
        <v>406</v>
      </c>
      <c r="U27" s="278">
        <v>2</v>
      </c>
      <c r="V27" s="140" t="s">
        <v>43</v>
      </c>
      <c r="W27" s="281" t="s">
        <v>43</v>
      </c>
      <c r="X27" s="281" t="s">
        <v>43</v>
      </c>
      <c r="Y27" s="281" t="s">
        <v>43</v>
      </c>
      <c r="Z27" s="281" t="s">
        <v>43</v>
      </c>
      <c r="AA27" s="281" t="s">
        <v>43</v>
      </c>
      <c r="AB27" s="281" t="s">
        <v>43</v>
      </c>
    </row>
    <row r="28" spans="2:28" ht="14.25" customHeight="1" x14ac:dyDescent="0.35">
      <c r="B28" s="275" t="s">
        <v>362</v>
      </c>
      <c r="C28" s="276">
        <v>79000815011994</v>
      </c>
      <c r="D28" s="277">
        <f>+(25422.36+2165.31+2165.31)*1.035</f>
        <v>30794.334300000002</v>
      </c>
      <c r="E28" s="277">
        <f>4340.68*1.035</f>
        <v>4492.6037999999999</v>
      </c>
      <c r="F28" s="277">
        <f>8239.54*1.035</f>
        <v>8527.9238999999998</v>
      </c>
      <c r="G28" s="277" t="s">
        <v>403</v>
      </c>
      <c r="H28" s="277">
        <f>2165.31*1.035</f>
        <v>2241.0958499999997</v>
      </c>
      <c r="I28" s="277">
        <f>2165.31*1.035</f>
        <v>2241.0958499999997</v>
      </c>
      <c r="J28" s="277">
        <f t="shared" si="0"/>
        <v>43814.862000000001</v>
      </c>
      <c r="K28" s="277">
        <f t="shared" si="1"/>
        <v>14020.75584</v>
      </c>
      <c r="L28" s="275" t="s">
        <v>404</v>
      </c>
      <c r="M28" s="278">
        <v>189</v>
      </c>
      <c r="N28" s="275" t="s">
        <v>405</v>
      </c>
      <c r="O28" s="279" t="s">
        <v>439</v>
      </c>
      <c r="P28" s="74"/>
      <c r="Q28" s="280">
        <v>1734</v>
      </c>
      <c r="R28" s="280">
        <v>100</v>
      </c>
      <c r="S28" s="280"/>
      <c r="T28" s="279" t="s">
        <v>406</v>
      </c>
      <c r="U28" s="278">
        <v>2</v>
      </c>
      <c r="V28" s="140" t="s">
        <v>43</v>
      </c>
      <c r="W28" s="281" t="s">
        <v>43</v>
      </c>
      <c r="X28" s="281" t="s">
        <v>43</v>
      </c>
      <c r="Y28" s="281" t="s">
        <v>43</v>
      </c>
      <c r="Z28" s="281" t="s">
        <v>43</v>
      </c>
      <c r="AA28" s="281" t="s">
        <v>43</v>
      </c>
      <c r="AB28" s="281" t="s">
        <v>43</v>
      </c>
    </row>
    <row r="29" spans="2:28" ht="14.25" customHeight="1" x14ac:dyDescent="0.35">
      <c r="B29" s="275" t="s">
        <v>362</v>
      </c>
      <c r="C29" s="276">
        <v>79000815011994</v>
      </c>
      <c r="D29" s="277">
        <f>+(19293.48+1659.87+1659.87)*1.035</f>
        <v>23404.682699999994</v>
      </c>
      <c r="E29" s="277">
        <f>5470*1.035</f>
        <v>5661.45</v>
      </c>
      <c r="F29" s="277">
        <f>6108.36*1.035</f>
        <v>6322.1525999999994</v>
      </c>
      <c r="G29" s="277" t="s">
        <v>403</v>
      </c>
      <c r="H29" s="277">
        <f>1659.87*1.035</f>
        <v>1717.9654499999997</v>
      </c>
      <c r="I29" s="277">
        <f>1659.87*1.035</f>
        <v>1717.9654499999997</v>
      </c>
      <c r="J29" s="277">
        <f t="shared" si="0"/>
        <v>35388.285299999996</v>
      </c>
      <c r="K29" s="277">
        <f t="shared" si="1"/>
        <v>11324.251295999999</v>
      </c>
      <c r="L29" s="275" t="s">
        <v>404</v>
      </c>
      <c r="M29" s="278">
        <v>200</v>
      </c>
      <c r="N29" s="275" t="s">
        <v>405</v>
      </c>
      <c r="O29" s="279" t="s">
        <v>440</v>
      </c>
      <c r="P29" s="74"/>
      <c r="Q29" s="280">
        <v>1647</v>
      </c>
      <c r="R29" s="280">
        <v>95</v>
      </c>
      <c r="S29" s="280"/>
      <c r="T29" s="279" t="s">
        <v>408</v>
      </c>
      <c r="U29" s="278">
        <v>2</v>
      </c>
      <c r="V29" s="140" t="s">
        <v>43</v>
      </c>
      <c r="W29" s="281" t="s">
        <v>43</v>
      </c>
      <c r="X29" s="281" t="s">
        <v>43</v>
      </c>
      <c r="Y29" s="281" t="s">
        <v>43</v>
      </c>
      <c r="Z29" s="281" t="s">
        <v>43</v>
      </c>
      <c r="AA29" s="281" t="s">
        <v>43</v>
      </c>
      <c r="AB29" s="281" t="s">
        <v>43</v>
      </c>
    </row>
    <row r="30" spans="2:28" ht="14.25" customHeight="1" x14ac:dyDescent="0.35">
      <c r="B30" s="275" t="s">
        <v>362</v>
      </c>
      <c r="C30" s="276">
        <v>79000815011994</v>
      </c>
      <c r="D30" s="277">
        <f>+(11665.68+945.43+945.43)*1.035</f>
        <v>14031.018899999999</v>
      </c>
      <c r="E30" s="277">
        <f>2714*1.035</f>
        <v>2808.99</v>
      </c>
      <c r="F30" s="277">
        <f>3752.48*1.035</f>
        <v>3883.8167999999996</v>
      </c>
      <c r="G30" s="277" t="s">
        <v>403</v>
      </c>
      <c r="H30" s="277">
        <f>945.43*1.035</f>
        <v>978.52004999999986</v>
      </c>
      <c r="I30" s="277">
        <f>945.43*1.035</f>
        <v>978.52004999999986</v>
      </c>
      <c r="J30" s="277">
        <f t="shared" si="0"/>
        <v>20723.825700000001</v>
      </c>
      <c r="K30" s="277">
        <f t="shared" si="1"/>
        <v>6631.6242240000001</v>
      </c>
      <c r="L30" s="275" t="s">
        <v>404</v>
      </c>
      <c r="M30" s="278">
        <v>289</v>
      </c>
      <c r="N30" s="275" t="s">
        <v>405</v>
      </c>
      <c r="O30" s="279" t="s">
        <v>226</v>
      </c>
      <c r="P30" s="74"/>
      <c r="Q30" s="280">
        <v>832</v>
      </c>
      <c r="R30" s="280">
        <v>48</v>
      </c>
      <c r="S30" s="280"/>
      <c r="T30" s="279" t="s">
        <v>408</v>
      </c>
      <c r="U30" s="278">
        <v>2</v>
      </c>
      <c r="V30" s="140" t="s">
        <v>43</v>
      </c>
      <c r="W30" s="281" t="s">
        <v>43</v>
      </c>
      <c r="X30" s="281" t="s">
        <v>43</v>
      </c>
      <c r="Y30" s="281" t="s">
        <v>43</v>
      </c>
      <c r="Z30" s="281" t="s">
        <v>43</v>
      </c>
      <c r="AA30" s="281" t="s">
        <v>43</v>
      </c>
      <c r="AB30" s="281" t="s">
        <v>43</v>
      </c>
    </row>
    <row r="31" spans="2:28" ht="14.25" customHeight="1" x14ac:dyDescent="0.35">
      <c r="B31" s="275" t="s">
        <v>362</v>
      </c>
      <c r="C31" s="276">
        <v>79000815011994</v>
      </c>
      <c r="D31" s="277">
        <f>+(13482.36+1165.37+1165.37)*1.035</f>
        <v>16366.558499999997</v>
      </c>
      <c r="E31" s="277">
        <f>369*1.035</f>
        <v>381.91499999999996</v>
      </c>
      <c r="F31" s="277">
        <f>1570.24*1.035</f>
        <v>1625.1984</v>
      </c>
      <c r="G31" s="277" t="s">
        <v>403</v>
      </c>
      <c r="H31" s="277">
        <f>1165.37*1.035</f>
        <v>1206.1579499999998</v>
      </c>
      <c r="I31" s="277">
        <f>1165.37*1.035</f>
        <v>1206.1579499999998</v>
      </c>
      <c r="J31" s="277">
        <f t="shared" si="0"/>
        <v>18373.671899999998</v>
      </c>
      <c r="K31" s="277">
        <f t="shared" si="1"/>
        <v>5879.5750079999989</v>
      </c>
      <c r="L31" s="275" t="s">
        <v>404</v>
      </c>
      <c r="M31" s="278">
        <v>289</v>
      </c>
      <c r="N31" s="275" t="s">
        <v>405</v>
      </c>
      <c r="O31" s="279" t="s">
        <v>441</v>
      </c>
      <c r="P31" s="74"/>
      <c r="Q31" s="280">
        <v>1387.5</v>
      </c>
      <c r="R31" s="280">
        <v>80</v>
      </c>
      <c r="S31" s="280"/>
      <c r="T31" s="279" t="s">
        <v>414</v>
      </c>
      <c r="U31" s="278">
        <v>7</v>
      </c>
      <c r="V31" s="140" t="s">
        <v>43</v>
      </c>
      <c r="W31" s="281" t="s">
        <v>43</v>
      </c>
      <c r="X31" s="281" t="s">
        <v>43</v>
      </c>
      <c r="Y31" s="281" t="s">
        <v>43</v>
      </c>
      <c r="Z31" s="281" t="s">
        <v>43</v>
      </c>
      <c r="AA31" s="281" t="s">
        <v>43</v>
      </c>
      <c r="AB31" s="281" t="s">
        <v>43</v>
      </c>
    </row>
    <row r="32" spans="2:28" ht="14.25" customHeight="1" x14ac:dyDescent="0.35">
      <c r="B32" s="275" t="s">
        <v>362</v>
      </c>
      <c r="C32" s="276">
        <v>79000815011994</v>
      </c>
      <c r="D32" s="277">
        <f>+(25994.16+2116.65+2116.65)*1.035</f>
        <v>31285.4211</v>
      </c>
      <c r="E32" s="277">
        <f>8455*1.035</f>
        <v>8750.9249999999993</v>
      </c>
      <c r="F32" s="277">
        <f>+(10890.58+1000)*1.035</f>
        <v>12306.7503</v>
      </c>
      <c r="G32" s="277" t="s">
        <v>442</v>
      </c>
      <c r="H32" s="277">
        <f>2116.65*1.035</f>
        <v>2190.7327500000001</v>
      </c>
      <c r="I32" s="277">
        <f>2116.65*1.035</f>
        <v>2190.7327500000001</v>
      </c>
      <c r="J32" s="277">
        <f t="shared" si="0"/>
        <v>52343.096399999995</v>
      </c>
      <c r="K32" s="277">
        <f t="shared" si="1"/>
        <v>16749.790847999997</v>
      </c>
      <c r="L32" s="275" t="s">
        <v>404</v>
      </c>
      <c r="M32" s="278">
        <v>100</v>
      </c>
      <c r="N32" s="275" t="s">
        <v>405</v>
      </c>
      <c r="O32" s="279" t="s">
        <v>443</v>
      </c>
      <c r="P32" s="74"/>
      <c r="Q32" s="280">
        <v>1734</v>
      </c>
      <c r="R32" s="280">
        <v>100</v>
      </c>
      <c r="S32" s="280"/>
      <c r="T32" s="279" t="s">
        <v>406</v>
      </c>
      <c r="U32" s="278">
        <v>2</v>
      </c>
      <c r="V32" s="140" t="s">
        <v>43</v>
      </c>
      <c r="W32" s="281" t="s">
        <v>43</v>
      </c>
      <c r="X32" s="281" t="s">
        <v>43</v>
      </c>
      <c r="Y32" s="281" t="s">
        <v>43</v>
      </c>
      <c r="Z32" s="281" t="s">
        <v>43</v>
      </c>
      <c r="AA32" s="281" t="s">
        <v>43</v>
      </c>
      <c r="AB32" s="281" t="s">
        <v>43</v>
      </c>
    </row>
    <row r="33" spans="2:28" ht="14.25" customHeight="1" x14ac:dyDescent="0.35">
      <c r="B33" s="275" t="s">
        <v>362</v>
      </c>
      <c r="C33" s="276">
        <v>79000815011994</v>
      </c>
      <c r="D33" s="277">
        <f>+(18638.52+1503.68+1503.68)*1.035</f>
        <v>22403.485799999999</v>
      </c>
      <c r="E33" s="277">
        <f>3472*1.035</f>
        <v>3593.5199999999995</v>
      </c>
      <c r="F33" s="277">
        <f>6262.94*1.035</f>
        <v>6482.1428999999989</v>
      </c>
      <c r="G33" s="277" t="s">
        <v>403</v>
      </c>
      <c r="H33" s="277">
        <f>1503.68*1.035</f>
        <v>1556.3088</v>
      </c>
      <c r="I33" s="277">
        <f>1503.68*1.035</f>
        <v>1556.3088</v>
      </c>
      <c r="J33" s="277">
        <f t="shared" si="0"/>
        <v>32479.148699999998</v>
      </c>
      <c r="K33" s="277">
        <f t="shared" si="1"/>
        <v>10393.327583999999</v>
      </c>
      <c r="L33" s="275" t="s">
        <v>404</v>
      </c>
      <c r="M33" s="278">
        <v>189</v>
      </c>
      <c r="N33" s="275" t="s">
        <v>405</v>
      </c>
      <c r="O33" s="279" t="s">
        <v>444</v>
      </c>
      <c r="P33" s="74"/>
      <c r="Q33" s="280">
        <v>1734</v>
      </c>
      <c r="R33" s="280">
        <v>100</v>
      </c>
      <c r="S33" s="280"/>
      <c r="T33" s="279" t="s">
        <v>424</v>
      </c>
      <c r="U33" s="278">
        <v>7</v>
      </c>
      <c r="V33" s="140" t="s">
        <v>43</v>
      </c>
      <c r="W33" s="281" t="s">
        <v>43</v>
      </c>
      <c r="X33" s="281" t="s">
        <v>43</v>
      </c>
      <c r="Y33" s="281" t="s">
        <v>43</v>
      </c>
      <c r="Z33" s="281" t="s">
        <v>43</v>
      </c>
      <c r="AA33" s="281" t="s">
        <v>43</v>
      </c>
      <c r="AB33" s="281" t="s">
        <v>43</v>
      </c>
    </row>
    <row r="34" spans="2:28" ht="14.25" customHeight="1" x14ac:dyDescent="0.35">
      <c r="B34" s="275" t="s">
        <v>362</v>
      </c>
      <c r="C34" s="276">
        <v>79000815011994</v>
      </c>
      <c r="D34" s="277">
        <f>+(25422.36+2231.7+2231.7)*1.035</f>
        <v>30931.761599999998</v>
      </c>
      <c r="E34" s="277">
        <f>4340.68*1.035</f>
        <v>4492.6037999999999</v>
      </c>
      <c r="F34" s="277">
        <f>+(10724.26+1000)*1.035</f>
        <v>12134.6091</v>
      </c>
      <c r="G34" s="277" t="s">
        <v>418</v>
      </c>
      <c r="H34" s="277">
        <f>2231.7*1.035</f>
        <v>2309.8094999999998</v>
      </c>
      <c r="I34" s="277">
        <f>2231.7*1.035</f>
        <v>2309.8094999999998</v>
      </c>
      <c r="J34" s="277">
        <f t="shared" si="0"/>
        <v>47558.974499999997</v>
      </c>
      <c r="K34" s="277">
        <f t="shared" si="1"/>
        <v>15218.87184</v>
      </c>
      <c r="L34" s="275" t="s">
        <v>404</v>
      </c>
      <c r="M34" s="278">
        <v>189</v>
      </c>
      <c r="N34" s="275" t="s">
        <v>405</v>
      </c>
      <c r="O34" s="279" t="s">
        <v>445</v>
      </c>
      <c r="P34" s="74"/>
      <c r="Q34" s="280">
        <v>1734</v>
      </c>
      <c r="R34" s="280">
        <v>100</v>
      </c>
      <c r="S34" s="280"/>
      <c r="T34" s="279" t="s">
        <v>406</v>
      </c>
      <c r="U34" s="278">
        <v>2</v>
      </c>
      <c r="V34" s="140" t="s">
        <v>43</v>
      </c>
      <c r="W34" s="281" t="s">
        <v>43</v>
      </c>
      <c r="X34" s="281" t="s">
        <v>43</v>
      </c>
      <c r="Y34" s="281" t="s">
        <v>43</v>
      </c>
      <c r="Z34" s="281" t="s">
        <v>43</v>
      </c>
      <c r="AA34" s="281" t="s">
        <v>43</v>
      </c>
      <c r="AB34" s="281" t="s">
        <v>43</v>
      </c>
    </row>
    <row r="35" spans="2:28" ht="14.25" customHeight="1" x14ac:dyDescent="0.35">
      <c r="B35" s="275" t="s">
        <v>362</v>
      </c>
      <c r="C35" s="276">
        <v>79000815011994</v>
      </c>
      <c r="D35" s="277">
        <f>+(17065.44+2790.72+2790.72)*1.035</f>
        <v>23439.520799999998</v>
      </c>
      <c r="E35" s="277">
        <f>10446.72*1.035</f>
        <v>10812.355199999998</v>
      </c>
      <c r="F35" s="277">
        <f>+(11557.44+1666)*1.035</f>
        <v>13686.260399999999</v>
      </c>
      <c r="G35" s="277" t="s">
        <v>446</v>
      </c>
      <c r="H35" s="277">
        <f>2790.72*1.035</f>
        <v>2888.3951999999995</v>
      </c>
      <c r="I35" s="277">
        <f>2790.72*1.035</f>
        <v>2888.3951999999995</v>
      </c>
      <c r="J35" s="277">
        <f t="shared" si="0"/>
        <v>47938.136399999996</v>
      </c>
      <c r="K35" s="277">
        <f t="shared" si="1"/>
        <v>15340.203647999999</v>
      </c>
      <c r="L35" s="275" t="s">
        <v>404</v>
      </c>
      <c r="M35" s="278">
        <v>100</v>
      </c>
      <c r="N35" s="275" t="s">
        <v>405</v>
      </c>
      <c r="O35" s="279" t="s">
        <v>434</v>
      </c>
      <c r="P35" s="74"/>
      <c r="Q35" s="280">
        <v>1734</v>
      </c>
      <c r="R35" s="280">
        <v>100</v>
      </c>
      <c r="S35" s="280"/>
      <c r="T35" s="279" t="s">
        <v>447</v>
      </c>
      <c r="U35" s="278">
        <v>7</v>
      </c>
      <c r="V35" s="140" t="s">
        <v>36</v>
      </c>
      <c r="W35" s="281" t="s">
        <v>43</v>
      </c>
      <c r="X35" s="281" t="s">
        <v>43</v>
      </c>
      <c r="Y35" s="281" t="s">
        <v>43</v>
      </c>
      <c r="Z35" s="281" t="s">
        <v>43</v>
      </c>
      <c r="AA35" s="281" t="s">
        <v>43</v>
      </c>
      <c r="AB35" s="281" t="s">
        <v>43</v>
      </c>
    </row>
    <row r="36" spans="2:28" ht="14.25" customHeight="1" x14ac:dyDescent="0.35">
      <c r="B36" s="275" t="s">
        <v>362</v>
      </c>
      <c r="C36" s="276">
        <v>79000815011994</v>
      </c>
      <c r="D36" s="277">
        <f>+(25422.36+2129.79+2129.79)*1.035</f>
        <v>30720.8079</v>
      </c>
      <c r="E36" s="277">
        <f>4450.68*1.035</f>
        <v>4606.4538000000002</v>
      </c>
      <c r="F36" s="277">
        <f>7175.08*1.035</f>
        <v>7426.2077999999992</v>
      </c>
      <c r="G36" s="277" t="s">
        <v>403</v>
      </c>
      <c r="H36" s="277">
        <f>2129.79*1.035</f>
        <v>2204.3326499999998</v>
      </c>
      <c r="I36" s="277">
        <f>2129.79*1.035</f>
        <v>2204.3326499999998</v>
      </c>
      <c r="J36" s="277">
        <f t="shared" si="0"/>
        <v>42753.469499999999</v>
      </c>
      <c r="K36" s="277">
        <f t="shared" si="1"/>
        <v>13681.11024</v>
      </c>
      <c r="L36" s="275" t="s">
        <v>404</v>
      </c>
      <c r="M36" s="278">
        <v>200</v>
      </c>
      <c r="N36" s="275" t="s">
        <v>405</v>
      </c>
      <c r="O36" s="279" t="s">
        <v>425</v>
      </c>
      <c r="P36" s="74"/>
      <c r="Q36" s="280">
        <v>1641</v>
      </c>
      <c r="R36" s="280">
        <v>95</v>
      </c>
      <c r="S36" s="280"/>
      <c r="T36" s="279" t="s">
        <v>406</v>
      </c>
      <c r="U36" s="278">
        <v>2</v>
      </c>
      <c r="V36" s="140" t="s">
        <v>43</v>
      </c>
      <c r="W36" s="281" t="s">
        <v>43</v>
      </c>
      <c r="X36" s="281" t="s">
        <v>43</v>
      </c>
      <c r="Y36" s="281" t="s">
        <v>43</v>
      </c>
      <c r="Z36" s="281" t="s">
        <v>43</v>
      </c>
      <c r="AA36" s="281" t="s">
        <v>43</v>
      </c>
      <c r="AB36" s="281" t="s">
        <v>43</v>
      </c>
    </row>
    <row r="37" spans="2:28" ht="14.25" customHeight="1" x14ac:dyDescent="0.35">
      <c r="B37" s="275" t="s">
        <v>362</v>
      </c>
      <c r="C37" s="276">
        <v>79000815011994</v>
      </c>
      <c r="D37" s="277">
        <f>+(16351.8+1362.65+1362.65)*1.035</f>
        <v>19744.798500000001</v>
      </c>
      <c r="E37" s="277">
        <f>4118*1.035</f>
        <v>4262.13</v>
      </c>
      <c r="F37" s="277">
        <f>11976*1.035</f>
        <v>12395.16</v>
      </c>
      <c r="G37" s="277" t="s">
        <v>448</v>
      </c>
      <c r="H37" s="277">
        <f>1362.65*1.035</f>
        <v>1410.34275</v>
      </c>
      <c r="I37" s="277">
        <f>1362.65*1.035</f>
        <v>1410.34275</v>
      </c>
      <c r="J37" s="277">
        <f t="shared" si="0"/>
        <v>36402.088499999998</v>
      </c>
      <c r="K37" s="277">
        <f t="shared" si="1"/>
        <v>11648.668319999999</v>
      </c>
      <c r="L37" s="275" t="s">
        <v>404</v>
      </c>
      <c r="M37" s="278">
        <v>100</v>
      </c>
      <c r="N37" s="275" t="s">
        <v>405</v>
      </c>
      <c r="O37" s="279" t="s">
        <v>449</v>
      </c>
      <c r="P37" s="74"/>
      <c r="Q37" s="280">
        <v>1734</v>
      </c>
      <c r="R37" s="280">
        <v>100</v>
      </c>
      <c r="S37" s="280"/>
      <c r="T37" s="279" t="s">
        <v>414</v>
      </c>
      <c r="U37" s="278">
        <v>7</v>
      </c>
      <c r="V37" s="140" t="s">
        <v>43</v>
      </c>
      <c r="W37" s="281" t="s">
        <v>43</v>
      </c>
      <c r="X37" s="281" t="s">
        <v>43</v>
      </c>
      <c r="Y37" s="281" t="s">
        <v>43</v>
      </c>
      <c r="Z37" s="281" t="s">
        <v>43</v>
      </c>
      <c r="AA37" s="281" t="s">
        <v>43</v>
      </c>
      <c r="AB37" s="281" t="s">
        <v>43</v>
      </c>
    </row>
    <row r="38" spans="2:28" ht="14.25" customHeight="1" x14ac:dyDescent="0.35">
      <c r="B38" s="275" t="s">
        <v>362</v>
      </c>
      <c r="C38" s="276">
        <v>79000815011994</v>
      </c>
      <c r="D38" s="277">
        <f>+(14152.08+1129.81+1129.81)*1.035</f>
        <v>16986.109499999999</v>
      </c>
      <c r="E38" s="277">
        <f>2990.54*1.035</f>
        <v>3095.2088999999996</v>
      </c>
      <c r="F38" s="277">
        <f>4572.2*1.035</f>
        <v>4732.2269999999999</v>
      </c>
      <c r="G38" s="277" t="s">
        <v>403</v>
      </c>
      <c r="H38" s="277">
        <f>1129.81*1.035</f>
        <v>1169.3533499999999</v>
      </c>
      <c r="I38" s="277">
        <f>1129.81*1.035</f>
        <v>1169.3533499999999</v>
      </c>
      <c r="J38" s="277">
        <f t="shared" si="0"/>
        <v>24813.545399999995</v>
      </c>
      <c r="K38" s="277">
        <f t="shared" si="1"/>
        <v>7940.3345279999985</v>
      </c>
      <c r="L38" s="275" t="s">
        <v>404</v>
      </c>
      <c r="M38" s="278">
        <v>289</v>
      </c>
      <c r="N38" s="275" t="s">
        <v>405</v>
      </c>
      <c r="O38" s="279" t="s">
        <v>450</v>
      </c>
      <c r="P38" s="74"/>
      <c r="Q38" s="280">
        <v>1387</v>
      </c>
      <c r="R38" s="280">
        <v>80</v>
      </c>
      <c r="S38" s="280"/>
      <c r="T38" s="279" t="s">
        <v>424</v>
      </c>
      <c r="U38" s="278">
        <v>7</v>
      </c>
      <c r="V38" s="140" t="s">
        <v>43</v>
      </c>
      <c r="W38" s="281" t="s">
        <v>43</v>
      </c>
      <c r="X38" s="281" t="s">
        <v>43</v>
      </c>
      <c r="Y38" s="281" t="s">
        <v>43</v>
      </c>
      <c r="Z38" s="281" t="s">
        <v>43</v>
      </c>
      <c r="AA38" s="281" t="s">
        <v>43</v>
      </c>
      <c r="AB38" s="281" t="s">
        <v>43</v>
      </c>
    </row>
    <row r="39" spans="2:28" ht="14.25" customHeight="1" x14ac:dyDescent="0.35">
      <c r="B39" s="275" t="s">
        <v>362</v>
      </c>
      <c r="C39" s="276">
        <v>79000815011994</v>
      </c>
      <c r="D39" s="277">
        <f>+(16225.68+1325.43+1325.43)*1.035</f>
        <v>19537.2189</v>
      </c>
      <c r="E39" s="277">
        <f>1822*1.035</f>
        <v>1885.7699999999998</v>
      </c>
      <c r="F39" s="277">
        <f>6295.62*1.035</f>
        <v>6515.966699999999</v>
      </c>
      <c r="G39" s="277" t="s">
        <v>403</v>
      </c>
      <c r="H39" s="277">
        <f>2027.86*1.035</f>
        <v>2098.8350999999998</v>
      </c>
      <c r="I39" s="277">
        <f>2027.86*1.035</f>
        <v>2098.8350999999998</v>
      </c>
      <c r="J39" s="277">
        <f t="shared" si="0"/>
        <v>27938.955600000001</v>
      </c>
      <c r="K39" s="277">
        <f t="shared" si="1"/>
        <v>8940.4657920000009</v>
      </c>
      <c r="L39" s="275" t="s">
        <v>404</v>
      </c>
      <c r="M39" s="278">
        <v>289</v>
      </c>
      <c r="N39" s="275" t="s">
        <v>405</v>
      </c>
      <c r="O39" s="279" t="s">
        <v>451</v>
      </c>
      <c r="P39" s="74"/>
      <c r="Q39" s="280">
        <v>1642</v>
      </c>
      <c r="R39" s="280">
        <v>95.5</v>
      </c>
      <c r="S39" s="280"/>
      <c r="T39" s="279" t="s">
        <v>414</v>
      </c>
      <c r="U39" s="278">
        <v>7</v>
      </c>
      <c r="V39" s="140" t="s">
        <v>43</v>
      </c>
      <c r="W39" s="281" t="s">
        <v>43</v>
      </c>
      <c r="X39" s="281" t="s">
        <v>43</v>
      </c>
      <c r="Y39" s="281" t="s">
        <v>43</v>
      </c>
      <c r="Z39" s="281" t="s">
        <v>43</v>
      </c>
      <c r="AA39" s="281" t="s">
        <v>43</v>
      </c>
      <c r="AB39" s="281" t="s">
        <v>43</v>
      </c>
    </row>
    <row r="40" spans="2:28" ht="14.25" customHeight="1" x14ac:dyDescent="0.35">
      <c r="B40" s="275" t="s">
        <v>362</v>
      </c>
      <c r="C40" s="276">
        <v>79000815011994</v>
      </c>
      <c r="D40" s="277">
        <f>+(24654.84+2027.86+2027.86)*1.035</f>
        <v>29715.429599999999</v>
      </c>
      <c r="E40" s="277">
        <f>2891*1.035</f>
        <v>2992.1849999999999</v>
      </c>
      <c r="F40" s="277">
        <f>6295.62*1.035</f>
        <v>6515.966699999999</v>
      </c>
      <c r="G40" s="277" t="s">
        <v>403</v>
      </c>
      <c r="H40" s="277">
        <f>1325.43*1.035</f>
        <v>1371.82005</v>
      </c>
      <c r="I40" s="277">
        <f>1325.43*1.035</f>
        <v>1371.82005</v>
      </c>
      <c r="J40" s="277">
        <f t="shared" si="0"/>
        <v>39223.581299999998</v>
      </c>
      <c r="K40" s="277">
        <f t="shared" si="1"/>
        <v>12551.546016</v>
      </c>
      <c r="L40" s="275" t="s">
        <v>404</v>
      </c>
      <c r="M40" s="278">
        <v>289</v>
      </c>
      <c r="N40" s="275" t="s">
        <v>405</v>
      </c>
      <c r="O40" s="279" t="s">
        <v>452</v>
      </c>
      <c r="P40" s="74"/>
      <c r="Q40" s="280">
        <v>1642</v>
      </c>
      <c r="R40" s="280">
        <v>95.5</v>
      </c>
      <c r="S40" s="280"/>
      <c r="T40" s="279" t="s">
        <v>406</v>
      </c>
      <c r="U40" s="278">
        <v>2</v>
      </c>
      <c r="V40" s="140" t="s">
        <v>43</v>
      </c>
      <c r="W40" s="281" t="s">
        <v>43</v>
      </c>
      <c r="X40" s="281" t="s">
        <v>43</v>
      </c>
      <c r="Y40" s="281" t="s">
        <v>43</v>
      </c>
      <c r="Z40" s="281" t="s">
        <v>43</v>
      </c>
      <c r="AA40" s="281" t="s">
        <v>43</v>
      </c>
      <c r="AB40" s="281" t="s">
        <v>43</v>
      </c>
    </row>
    <row r="41" spans="2:28" ht="14.25" customHeight="1" x14ac:dyDescent="0.35">
      <c r="B41" s="275" t="s">
        <v>362</v>
      </c>
      <c r="C41" s="276">
        <v>79000815011994</v>
      </c>
      <c r="D41" s="277">
        <f>+(25422.36+2175.5+2175.5)*1.035</f>
        <v>30815.427599999999</v>
      </c>
      <c r="E41" s="277">
        <f>3003*1.035</f>
        <v>3108.1049999999996</v>
      </c>
      <c r="F41" s="277">
        <f>8677.18*1.035</f>
        <v>8980.8812999999991</v>
      </c>
      <c r="G41" s="277" t="s">
        <v>403</v>
      </c>
      <c r="H41" s="277">
        <f>2175.5*1.035</f>
        <v>2251.6424999999999</v>
      </c>
      <c r="I41" s="277">
        <f>2175.5*1.035</f>
        <v>2251.6424999999999</v>
      </c>
      <c r="J41" s="277">
        <f t="shared" si="0"/>
        <v>42904.4139</v>
      </c>
      <c r="K41" s="277">
        <f t="shared" si="1"/>
        <v>13729.412448000001</v>
      </c>
      <c r="L41" s="275" t="s">
        <v>404</v>
      </c>
      <c r="M41" s="278">
        <v>100</v>
      </c>
      <c r="N41" s="275" t="s">
        <v>405</v>
      </c>
      <c r="O41" s="279" t="s">
        <v>453</v>
      </c>
      <c r="P41" s="74"/>
      <c r="Q41" s="280">
        <v>1734</v>
      </c>
      <c r="R41" s="280">
        <v>100</v>
      </c>
      <c r="S41" s="280"/>
      <c r="T41" s="279" t="s">
        <v>406</v>
      </c>
      <c r="U41" s="278">
        <v>2</v>
      </c>
      <c r="V41" s="140" t="s">
        <v>43</v>
      </c>
      <c r="W41" s="281" t="s">
        <v>43</v>
      </c>
      <c r="X41" s="281" t="s">
        <v>43</v>
      </c>
      <c r="Y41" s="281" t="s">
        <v>43</v>
      </c>
      <c r="Z41" s="281" t="s">
        <v>43</v>
      </c>
      <c r="AA41" s="281" t="s">
        <v>43</v>
      </c>
      <c r="AB41" s="281" t="s">
        <v>43</v>
      </c>
    </row>
    <row r="42" spans="2:28" ht="14.25" customHeight="1" x14ac:dyDescent="0.35">
      <c r="B42" s="275" t="s">
        <v>362</v>
      </c>
      <c r="C42" s="276">
        <v>79000815011994</v>
      </c>
      <c r="D42" s="277">
        <f>+(25422.36+2231.7+2231.7)*1.035</f>
        <v>30931.761599999998</v>
      </c>
      <c r="E42" s="277">
        <f>5679.88*1.035</f>
        <v>5878.6758</v>
      </c>
      <c r="F42" s="277">
        <f>8537.5*1.035</f>
        <v>8836.3125</v>
      </c>
      <c r="G42" s="277" t="s">
        <v>403</v>
      </c>
      <c r="H42" s="277">
        <f>2231.7*1.035</f>
        <v>2309.8094999999998</v>
      </c>
      <c r="I42" s="277">
        <f>2231.7*1.035</f>
        <v>2309.8094999999998</v>
      </c>
      <c r="J42" s="277">
        <f t="shared" si="0"/>
        <v>45646.749899999995</v>
      </c>
      <c r="K42" s="277">
        <f t="shared" si="1"/>
        <v>14606.959967999999</v>
      </c>
      <c r="L42" s="275" t="s">
        <v>404</v>
      </c>
      <c r="M42" s="278">
        <v>189</v>
      </c>
      <c r="N42" s="275" t="s">
        <v>405</v>
      </c>
      <c r="O42" s="279" t="s">
        <v>454</v>
      </c>
      <c r="P42" s="74"/>
      <c r="Q42" s="280">
        <v>1734</v>
      </c>
      <c r="R42" s="280">
        <v>100</v>
      </c>
      <c r="S42" s="280"/>
      <c r="T42" s="279" t="s">
        <v>406</v>
      </c>
      <c r="U42" s="278">
        <v>2</v>
      </c>
      <c r="V42" s="140" t="s">
        <v>43</v>
      </c>
      <c r="W42" s="281" t="s">
        <v>43</v>
      </c>
      <c r="X42" s="281" t="s">
        <v>43</v>
      </c>
      <c r="Y42" s="281" t="s">
        <v>43</v>
      </c>
      <c r="Z42" s="281" t="s">
        <v>43</v>
      </c>
      <c r="AA42" s="281" t="s">
        <v>43</v>
      </c>
      <c r="AB42" s="281" t="s">
        <v>43</v>
      </c>
    </row>
    <row r="43" spans="2:28" ht="14.25" customHeight="1" x14ac:dyDescent="0.35">
      <c r="B43" s="275" t="s">
        <v>362</v>
      </c>
      <c r="C43" s="276">
        <v>79000815011994</v>
      </c>
      <c r="D43" s="277">
        <f>+(26719.08+2226.59+2226.59)*1.035</f>
        <v>32263.289099999998</v>
      </c>
      <c r="E43" s="277">
        <f>2827*1.035</f>
        <v>2925.9449999999997</v>
      </c>
      <c r="F43" s="277">
        <f>+(20753.04+10000)*1.035</f>
        <v>31829.396399999998</v>
      </c>
      <c r="G43" s="277" t="s">
        <v>455</v>
      </c>
      <c r="H43" s="277">
        <f>2226.59*1.035</f>
        <v>2304.5206499999999</v>
      </c>
      <c r="I43" s="277">
        <f>2226.59*1.035</f>
        <v>2304.5206499999999</v>
      </c>
      <c r="J43" s="277">
        <f t="shared" si="0"/>
        <v>67018.630499999999</v>
      </c>
      <c r="K43" s="277">
        <f t="shared" si="1"/>
        <v>21445.961760000002</v>
      </c>
      <c r="L43" s="275" t="s">
        <v>404</v>
      </c>
      <c r="M43" s="278">
        <v>189</v>
      </c>
      <c r="N43" s="275" t="s">
        <v>405</v>
      </c>
      <c r="O43" s="279" t="s">
        <v>456</v>
      </c>
      <c r="P43" s="74"/>
      <c r="Q43" s="280">
        <v>1734</v>
      </c>
      <c r="R43" s="280">
        <v>100</v>
      </c>
      <c r="S43" s="280"/>
      <c r="T43" s="279" t="s">
        <v>406</v>
      </c>
      <c r="U43" s="278">
        <v>2</v>
      </c>
      <c r="V43" s="140" t="s">
        <v>43</v>
      </c>
      <c r="W43" s="281" t="s">
        <v>43</v>
      </c>
      <c r="X43" s="281" t="s">
        <v>43</v>
      </c>
      <c r="Y43" s="281" t="s">
        <v>43</v>
      </c>
      <c r="Z43" s="281" t="s">
        <v>43</v>
      </c>
      <c r="AA43" s="281" t="s">
        <v>43</v>
      </c>
      <c r="AB43" s="281" t="s">
        <v>43</v>
      </c>
    </row>
    <row r="44" spans="2:28" ht="14.25" customHeight="1" x14ac:dyDescent="0.35">
      <c r="B44" s="275" t="s">
        <v>362</v>
      </c>
      <c r="C44" s="276">
        <v>79000815011994</v>
      </c>
      <c r="D44" s="277">
        <f>+(8716.44+940.6+940.6)*1.035</f>
        <v>10968.5574</v>
      </c>
      <c r="E44" s="277">
        <f>731*1.035</f>
        <v>756.58499999999992</v>
      </c>
      <c r="F44" s="277">
        <f>555.56*1.035</f>
        <v>575.00459999999987</v>
      </c>
      <c r="G44" s="277" t="s">
        <v>407</v>
      </c>
      <c r="H44" s="277">
        <f>940.6*1.035</f>
        <v>973.52099999999996</v>
      </c>
      <c r="I44" s="277">
        <f>940.6*1.035</f>
        <v>973.52099999999996</v>
      </c>
      <c r="J44" s="277">
        <f t="shared" si="0"/>
        <v>12300.146999999999</v>
      </c>
      <c r="K44" s="277">
        <f t="shared" si="1"/>
        <v>3936.0470399999999</v>
      </c>
      <c r="L44" s="275" t="s">
        <v>404</v>
      </c>
      <c r="M44" s="278">
        <v>200</v>
      </c>
      <c r="N44" s="275" t="s">
        <v>405</v>
      </c>
      <c r="O44" s="279" t="s">
        <v>457</v>
      </c>
      <c r="P44" s="74"/>
      <c r="Q44" s="280">
        <v>975.37</v>
      </c>
      <c r="R44" s="280">
        <v>56.25</v>
      </c>
      <c r="S44" s="280"/>
      <c r="T44" s="279" t="s">
        <v>417</v>
      </c>
      <c r="U44" s="278">
        <v>10</v>
      </c>
      <c r="V44" s="140" t="s">
        <v>43</v>
      </c>
      <c r="W44" s="281" t="s">
        <v>43</v>
      </c>
      <c r="X44" s="281" t="s">
        <v>43</v>
      </c>
      <c r="Y44" s="281" t="s">
        <v>43</v>
      </c>
      <c r="Z44" s="281" t="s">
        <v>43</v>
      </c>
      <c r="AA44" s="281" t="s">
        <v>43</v>
      </c>
      <c r="AB44" s="281" t="s">
        <v>43</v>
      </c>
    </row>
    <row r="45" spans="2:28" ht="14.25" customHeight="1" x14ac:dyDescent="0.35">
      <c r="B45" s="275" t="s">
        <v>362</v>
      </c>
      <c r="C45" s="276">
        <v>79000815011994</v>
      </c>
      <c r="D45" s="277">
        <f>+(17372.64+1386.78+1386.78)*1.035</f>
        <v>20851.316999999995</v>
      </c>
      <c r="E45" s="277">
        <f>2767*1.035</f>
        <v>2863.8449999999998</v>
      </c>
      <c r="F45" s="277">
        <f>5921.26*1.035</f>
        <v>6128.5041000000001</v>
      </c>
      <c r="G45" s="277" t="s">
        <v>403</v>
      </c>
      <c r="H45" s="277">
        <f>1386.78*1.035</f>
        <v>1435.3172999999999</v>
      </c>
      <c r="I45" s="277">
        <f>1386.78*1.035</f>
        <v>1435.3172999999999</v>
      </c>
      <c r="J45" s="277">
        <f t="shared" si="0"/>
        <v>29843.666099999995</v>
      </c>
      <c r="K45" s="277">
        <f t="shared" si="1"/>
        <v>9549.9731519999987</v>
      </c>
      <c r="L45" s="275" t="s">
        <v>404</v>
      </c>
      <c r="M45" s="278">
        <v>289</v>
      </c>
      <c r="N45" s="275" t="s">
        <v>405</v>
      </c>
      <c r="O45" s="279" t="s">
        <v>458</v>
      </c>
      <c r="P45" s="74"/>
      <c r="Q45" s="280">
        <v>1656</v>
      </c>
      <c r="R45" s="280">
        <v>95.5</v>
      </c>
      <c r="S45" s="280"/>
      <c r="T45" s="279" t="s">
        <v>424</v>
      </c>
      <c r="U45" s="278">
        <v>7</v>
      </c>
      <c r="V45" s="140" t="s">
        <v>43</v>
      </c>
      <c r="W45" s="281" t="s">
        <v>43</v>
      </c>
      <c r="X45" s="281" t="s">
        <v>43</v>
      </c>
      <c r="Y45" s="281" t="s">
        <v>43</v>
      </c>
      <c r="Z45" s="281" t="s">
        <v>43</v>
      </c>
      <c r="AA45" s="281" t="s">
        <v>43</v>
      </c>
      <c r="AB45" s="281" t="s">
        <v>43</v>
      </c>
    </row>
    <row r="46" spans="2:28" ht="14.25" customHeight="1" x14ac:dyDescent="0.35">
      <c r="B46" s="275" t="s">
        <v>362</v>
      </c>
      <c r="C46" s="276">
        <v>79000815011994</v>
      </c>
      <c r="D46" s="277">
        <f>+(10351.44+835.91+835.91)*1.035</f>
        <v>12444.0741</v>
      </c>
      <c r="E46" s="277">
        <f>1666*1.035</f>
        <v>1724.31</v>
      </c>
      <c r="F46" s="277">
        <f>257.32*1.035</f>
        <v>266.32619999999997</v>
      </c>
      <c r="G46" s="277" t="s">
        <v>413</v>
      </c>
      <c r="H46" s="277">
        <f>835.91*1.035</f>
        <v>865.16684999999995</v>
      </c>
      <c r="I46" s="277">
        <f>835.91*1.035</f>
        <v>865.16684999999995</v>
      </c>
      <c r="J46" s="277">
        <f t="shared" si="0"/>
        <v>14434.710299999999</v>
      </c>
      <c r="K46" s="277">
        <f t="shared" si="1"/>
        <v>4619.1072960000001</v>
      </c>
      <c r="L46" s="275" t="s">
        <v>404</v>
      </c>
      <c r="M46" s="278">
        <v>289</v>
      </c>
      <c r="N46" s="275" t="s">
        <v>405</v>
      </c>
      <c r="O46" s="279" t="s">
        <v>459</v>
      </c>
      <c r="P46" s="74"/>
      <c r="Q46" s="280">
        <v>1083.75</v>
      </c>
      <c r="R46" s="280">
        <v>62.5</v>
      </c>
      <c r="S46" s="280"/>
      <c r="T46" s="279" t="s">
        <v>417</v>
      </c>
      <c r="U46" s="278">
        <v>10</v>
      </c>
      <c r="V46" s="140" t="s">
        <v>43</v>
      </c>
      <c r="W46" s="281" t="s">
        <v>43</v>
      </c>
      <c r="X46" s="281" t="s">
        <v>43</v>
      </c>
      <c r="Y46" s="281" t="s">
        <v>43</v>
      </c>
      <c r="Z46" s="281" t="s">
        <v>43</v>
      </c>
      <c r="AA46" s="281" t="s">
        <v>43</v>
      </c>
      <c r="AB46" s="281" t="s">
        <v>43</v>
      </c>
    </row>
    <row r="47" spans="2:28" ht="14.25" customHeight="1" x14ac:dyDescent="0.35">
      <c r="B47" s="275" t="s">
        <v>362</v>
      </c>
      <c r="C47" s="276">
        <v>79000815011994</v>
      </c>
      <c r="D47" s="277">
        <f>+(3278.4+91.61+91.61)*1.035</f>
        <v>3582.7766999999999</v>
      </c>
      <c r="E47" s="277"/>
      <c r="F47" s="277">
        <f>417.44*1.035</f>
        <v>432.05039999999997</v>
      </c>
      <c r="G47" s="277" t="s">
        <v>413</v>
      </c>
      <c r="H47" s="277">
        <f>91.61*1.035</f>
        <v>94.816349999999986</v>
      </c>
      <c r="I47" s="277">
        <f>91.61*1.035</f>
        <v>94.816349999999986</v>
      </c>
      <c r="J47" s="277">
        <f t="shared" si="0"/>
        <v>4014.8271</v>
      </c>
      <c r="K47" s="277">
        <f t="shared" si="1"/>
        <v>1284.744672</v>
      </c>
      <c r="L47" s="275" t="s">
        <v>404</v>
      </c>
      <c r="M47" s="278">
        <v>300</v>
      </c>
      <c r="N47" s="275" t="s">
        <v>405</v>
      </c>
      <c r="O47" s="283">
        <v>45265</v>
      </c>
      <c r="P47" s="74"/>
      <c r="Q47" s="280">
        <v>300</v>
      </c>
      <c r="R47" s="280">
        <v>17.3</v>
      </c>
      <c r="S47" s="280"/>
      <c r="T47" s="279" t="s">
        <v>414</v>
      </c>
      <c r="U47" s="284">
        <v>7</v>
      </c>
      <c r="V47" s="140" t="s">
        <v>43</v>
      </c>
      <c r="W47" s="281" t="s">
        <v>43</v>
      </c>
      <c r="X47" s="281" t="s">
        <v>43</v>
      </c>
      <c r="Y47" s="281" t="s">
        <v>43</v>
      </c>
      <c r="Z47" s="281" t="s">
        <v>43</v>
      </c>
      <c r="AA47" s="281" t="s">
        <v>43</v>
      </c>
      <c r="AB47" s="281" t="s">
        <v>43</v>
      </c>
    </row>
    <row r="48" spans="2:28" ht="14.25" customHeight="1" x14ac:dyDescent="0.35">
      <c r="B48" s="275" t="s">
        <v>362</v>
      </c>
      <c r="C48" s="276">
        <v>79000815011994</v>
      </c>
      <c r="D48" s="277">
        <f>+(22980.96+1915+1915)*1.035</f>
        <v>27749.343599999997</v>
      </c>
      <c r="E48" s="277"/>
      <c r="F48" s="277">
        <f>34389.12*1.035</f>
        <v>35592.739199999996</v>
      </c>
      <c r="G48" s="277" t="s">
        <v>460</v>
      </c>
      <c r="H48" s="277">
        <f>1915*1.035</f>
        <v>1982.0249999999999</v>
      </c>
      <c r="I48" s="277">
        <f>1915*1.035</f>
        <v>1982.0249999999999</v>
      </c>
      <c r="J48" s="277">
        <f>+D48+E48+F48</f>
        <v>63342.082799999989</v>
      </c>
      <c r="K48" s="277">
        <f>+J48*0.32</f>
        <v>20269.466495999997</v>
      </c>
      <c r="L48" s="275" t="s">
        <v>404</v>
      </c>
      <c r="M48" s="285">
        <v>100</v>
      </c>
      <c r="N48" s="275" t="s">
        <v>405</v>
      </c>
      <c r="O48" s="279" t="s">
        <v>461</v>
      </c>
      <c r="P48" s="74"/>
      <c r="Q48" s="280">
        <v>1734</v>
      </c>
      <c r="R48" s="280">
        <v>100</v>
      </c>
      <c r="S48" s="280"/>
      <c r="T48" s="279" t="s">
        <v>462</v>
      </c>
      <c r="U48" s="260">
        <v>1</v>
      </c>
      <c r="V48" s="140" t="s">
        <v>43</v>
      </c>
      <c r="W48" s="281" t="s">
        <v>43</v>
      </c>
      <c r="X48" s="281" t="s">
        <v>43</v>
      </c>
      <c r="Y48" s="281" t="s">
        <v>43</v>
      </c>
      <c r="Z48" s="281" t="s">
        <v>43</v>
      </c>
      <c r="AA48" s="281" t="s">
        <v>43</v>
      </c>
      <c r="AB48" s="281" t="s">
        <v>43</v>
      </c>
    </row>
    <row r="49" spans="1:56" ht="14.25" customHeight="1" x14ac:dyDescent="0.35">
      <c r="B49" s="275" t="s">
        <v>362</v>
      </c>
      <c r="C49" s="276">
        <v>79000815011994</v>
      </c>
      <c r="D49" s="277">
        <f>+(2616.44+534.59+32.36+206.16)*1.035</f>
        <v>3508.1842499999998</v>
      </c>
      <c r="E49" s="277">
        <f>242.48*1.035</f>
        <v>250.96679999999998</v>
      </c>
      <c r="F49" s="277">
        <f>+(800+2447.97)*1.035</f>
        <v>3361.6489499999993</v>
      </c>
      <c r="G49" s="277" t="s">
        <v>463</v>
      </c>
      <c r="H49" s="277">
        <f>2156.11*1.035</f>
        <v>2231.5738499999998</v>
      </c>
      <c r="I49" s="277">
        <f>2156.11*1.035</f>
        <v>2231.5738499999998</v>
      </c>
      <c r="J49" s="277">
        <f t="shared" si="0"/>
        <v>7120.7999999999993</v>
      </c>
      <c r="K49" s="277">
        <f t="shared" si="1"/>
        <v>2278.6559999999999</v>
      </c>
      <c r="L49" s="275" t="s">
        <v>404</v>
      </c>
      <c r="M49" s="278">
        <v>300</v>
      </c>
      <c r="N49" s="275" t="s">
        <v>405</v>
      </c>
      <c r="O49" s="283">
        <v>44716</v>
      </c>
      <c r="P49" s="74"/>
      <c r="Q49" s="280">
        <v>300</v>
      </c>
      <c r="R49" s="280">
        <v>17.3</v>
      </c>
      <c r="S49" s="280"/>
      <c r="T49" s="279" t="s">
        <v>464</v>
      </c>
      <c r="U49" s="284">
        <v>1</v>
      </c>
      <c r="V49" s="140" t="s">
        <v>43</v>
      </c>
      <c r="W49" s="281" t="s">
        <v>43</v>
      </c>
      <c r="X49" s="281" t="s">
        <v>43</v>
      </c>
      <c r="Y49" s="281" t="s">
        <v>43</v>
      </c>
      <c r="Z49" s="281" t="s">
        <v>43</v>
      </c>
      <c r="AA49" s="281" t="s">
        <v>43</v>
      </c>
      <c r="AB49" s="281" t="s">
        <v>43</v>
      </c>
    </row>
    <row r="50" spans="1:56" ht="14.25" customHeight="1" x14ac:dyDescent="0.35">
      <c r="B50" s="275" t="s">
        <v>362</v>
      </c>
      <c r="C50" s="276">
        <v>79000815011994</v>
      </c>
      <c r="D50" s="277">
        <f>+(429.08+107.27+913.23+5.3)*1.035</f>
        <v>1505.8007999999998</v>
      </c>
      <c r="E50" s="277"/>
      <c r="F50" s="277"/>
      <c r="G50" s="277" t="s">
        <v>463</v>
      </c>
      <c r="H50" s="277">
        <f>2156.11*1.035</f>
        <v>2231.5738499999998</v>
      </c>
      <c r="I50" s="277">
        <f>2156.11*1.035</f>
        <v>2231.5738499999998</v>
      </c>
      <c r="J50" s="277">
        <f t="shared" si="0"/>
        <v>1505.8007999999998</v>
      </c>
      <c r="K50" s="277">
        <f t="shared" si="1"/>
        <v>481.85625599999992</v>
      </c>
      <c r="L50" s="275" t="s">
        <v>404</v>
      </c>
      <c r="M50" s="278">
        <v>300</v>
      </c>
      <c r="N50" s="275" t="s">
        <v>405</v>
      </c>
      <c r="O50" s="283">
        <v>45283</v>
      </c>
      <c r="P50" s="74"/>
      <c r="Q50" s="280">
        <v>300</v>
      </c>
      <c r="R50" s="280">
        <v>17.3</v>
      </c>
      <c r="S50" s="280"/>
      <c r="T50" s="279" t="s">
        <v>411</v>
      </c>
      <c r="U50" s="284">
        <v>1</v>
      </c>
      <c r="V50" s="140" t="s">
        <v>43</v>
      </c>
      <c r="W50" s="281" t="s">
        <v>43</v>
      </c>
      <c r="X50" s="281" t="s">
        <v>43</v>
      </c>
      <c r="Y50" s="281" t="s">
        <v>43</v>
      </c>
      <c r="Z50" s="281" t="s">
        <v>43</v>
      </c>
      <c r="AA50" s="281" t="s">
        <v>43</v>
      </c>
      <c r="AB50" s="281" t="s">
        <v>43</v>
      </c>
    </row>
    <row r="51" spans="1:56" ht="14.25" customHeight="1" x14ac:dyDescent="0.35">
      <c r="B51" s="275" t="s">
        <v>362</v>
      </c>
      <c r="C51" s="276">
        <v>79000815011994</v>
      </c>
      <c r="D51" s="277">
        <f>27110.64+2231.57+2231.57</f>
        <v>31573.78</v>
      </c>
      <c r="E51" s="277"/>
      <c r="F51" s="277">
        <v>6536.22</v>
      </c>
      <c r="G51" s="277" t="s">
        <v>463</v>
      </c>
      <c r="H51" s="277">
        <v>2231.5700000000002</v>
      </c>
      <c r="I51" s="277">
        <v>2231.5700000000002</v>
      </c>
      <c r="J51" s="277">
        <f t="shared" si="0"/>
        <v>38110</v>
      </c>
      <c r="K51" s="277">
        <f t="shared" si="1"/>
        <v>12195.2</v>
      </c>
      <c r="L51" s="275" t="s">
        <v>404</v>
      </c>
      <c r="M51" s="278">
        <v>100</v>
      </c>
      <c r="N51" s="275" t="s">
        <v>405</v>
      </c>
      <c r="O51" s="283">
        <v>45597</v>
      </c>
      <c r="P51" s="74"/>
      <c r="Q51" s="280">
        <v>100</v>
      </c>
      <c r="R51" s="280">
        <v>100</v>
      </c>
      <c r="S51" s="280"/>
      <c r="T51" s="279" t="s">
        <v>411</v>
      </c>
      <c r="U51" s="284">
        <v>1</v>
      </c>
      <c r="V51" s="140" t="s">
        <v>43</v>
      </c>
      <c r="W51" s="281" t="s">
        <v>43</v>
      </c>
      <c r="X51" s="281" t="s">
        <v>43</v>
      </c>
      <c r="Y51" s="281" t="s">
        <v>43</v>
      </c>
      <c r="Z51" s="281" t="s">
        <v>43</v>
      </c>
      <c r="AA51" s="281" t="s">
        <v>43</v>
      </c>
      <c r="AB51" s="281" t="s">
        <v>43</v>
      </c>
    </row>
    <row r="52" spans="1:56" s="141" customFormat="1" ht="14.25" customHeight="1" x14ac:dyDescent="0.35">
      <c r="A52"/>
      <c r="B52" s="275" t="s">
        <v>362</v>
      </c>
      <c r="C52" s="276"/>
      <c r="D52" s="277"/>
      <c r="E52" s="277"/>
      <c r="F52" s="277">
        <v>7000</v>
      </c>
      <c r="G52" s="277"/>
      <c r="H52" s="277"/>
      <c r="I52" s="277"/>
      <c r="J52" s="277">
        <f>+D52+E52+F52</f>
        <v>7000</v>
      </c>
      <c r="K52" s="277"/>
      <c r="L52" s="286"/>
      <c r="M52" s="80"/>
      <c r="N52" s="275" t="s">
        <v>465</v>
      </c>
      <c r="O52" s="165"/>
      <c r="P52" s="74"/>
      <c r="Q52" s="280"/>
      <c r="R52" s="280"/>
      <c r="S52" s="280"/>
      <c r="T52" s="287" t="s">
        <v>466</v>
      </c>
      <c r="U52" s="260"/>
      <c r="V52" s="10" t="s">
        <v>467</v>
      </c>
      <c r="W52" s="281" t="s">
        <v>43</v>
      </c>
      <c r="X52" s="281" t="s">
        <v>43</v>
      </c>
      <c r="Y52" s="281" t="s">
        <v>43</v>
      </c>
      <c r="Z52" s="281" t="s">
        <v>43</v>
      </c>
      <c r="AA52" s="281" t="s">
        <v>43</v>
      </c>
      <c r="AB52" s="281" t="s">
        <v>43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</row>
    <row r="53" spans="1:56" x14ac:dyDescent="0.35">
      <c r="B53" s="275" t="s">
        <v>362</v>
      </c>
      <c r="C53" s="276"/>
      <c r="D53" s="277"/>
      <c r="E53" s="277"/>
      <c r="F53" s="277">
        <v>100000</v>
      </c>
      <c r="G53" s="277"/>
      <c r="H53" s="277"/>
      <c r="I53" s="277"/>
      <c r="J53" s="277">
        <f>+D53+E53+F53</f>
        <v>100000</v>
      </c>
      <c r="K53" s="277"/>
      <c r="L53" s="277"/>
      <c r="M53" s="275"/>
      <c r="N53" s="275" t="s">
        <v>468</v>
      </c>
      <c r="O53" s="288"/>
      <c r="P53" s="74"/>
      <c r="Q53" s="280"/>
      <c r="R53" s="280"/>
      <c r="S53" s="280"/>
      <c r="T53" s="287" t="s">
        <v>469</v>
      </c>
      <c r="U53" s="260"/>
      <c r="V53" s="10" t="s">
        <v>470</v>
      </c>
      <c r="W53" s="281" t="s">
        <v>43</v>
      </c>
      <c r="X53" s="281" t="s">
        <v>43</v>
      </c>
      <c r="Y53" s="281" t="s">
        <v>43</v>
      </c>
      <c r="Z53" s="281" t="s">
        <v>43</v>
      </c>
      <c r="AA53" s="281" t="s">
        <v>43</v>
      </c>
      <c r="AB53" s="281" t="s">
        <v>43</v>
      </c>
    </row>
    <row r="54" spans="1:56" ht="14.25" customHeight="1" x14ac:dyDescent="0.35">
      <c r="B54" s="275" t="s">
        <v>362</v>
      </c>
      <c r="C54" s="276"/>
      <c r="D54" s="277"/>
      <c r="E54" s="277"/>
      <c r="F54" s="277">
        <f>+(29570.76+2841.33+2841.33)*0.5+14931.45+10418.61</f>
        <v>42976.770000000004</v>
      </c>
      <c r="G54" s="277"/>
      <c r="H54" s="277"/>
      <c r="I54" s="277"/>
      <c r="J54" s="277">
        <f t="shared" si="0"/>
        <v>42976.770000000004</v>
      </c>
      <c r="K54" s="277"/>
      <c r="L54" s="277"/>
      <c r="M54" s="289"/>
      <c r="N54" s="275" t="s">
        <v>465</v>
      </c>
      <c r="O54" s="290"/>
      <c r="P54" s="74"/>
      <c r="Q54" s="280"/>
      <c r="R54" s="280"/>
      <c r="S54" s="280"/>
      <c r="T54" s="270" t="s">
        <v>471</v>
      </c>
      <c r="U54" s="291"/>
      <c r="V54" s="10" t="s">
        <v>467</v>
      </c>
      <c r="W54" s="281" t="s">
        <v>43</v>
      </c>
      <c r="X54" s="281" t="s">
        <v>43</v>
      </c>
      <c r="Y54" s="281" t="s">
        <v>43</v>
      </c>
      <c r="Z54" s="281" t="s">
        <v>43</v>
      </c>
      <c r="AA54" s="281" t="s">
        <v>43</v>
      </c>
      <c r="AB54" s="281" t="s">
        <v>43</v>
      </c>
    </row>
    <row r="55" spans="1:56" ht="14.25" customHeight="1" x14ac:dyDescent="0.35">
      <c r="B55" s="275" t="s">
        <v>362</v>
      </c>
      <c r="C55" s="276"/>
      <c r="D55" s="277"/>
      <c r="E55" s="277"/>
      <c r="F55" s="277">
        <f>+(17803.92+1469.43+1469.43)*0.5+10945.17+6821.3</f>
        <v>28137.859999999997</v>
      </c>
      <c r="G55" s="277"/>
      <c r="H55" s="277"/>
      <c r="I55" s="277"/>
      <c r="J55" s="277">
        <f t="shared" si="0"/>
        <v>28137.859999999997</v>
      </c>
      <c r="K55" s="277"/>
      <c r="L55" s="277"/>
      <c r="M55" s="289"/>
      <c r="N55" s="275" t="s">
        <v>465</v>
      </c>
      <c r="O55" s="290"/>
      <c r="P55" s="74"/>
      <c r="Q55" s="280"/>
      <c r="R55" s="280"/>
      <c r="S55" s="280"/>
      <c r="T55" s="270" t="s">
        <v>472</v>
      </c>
      <c r="U55" s="291"/>
      <c r="V55" s="10" t="s">
        <v>467</v>
      </c>
      <c r="W55" s="281" t="s">
        <v>43</v>
      </c>
      <c r="X55" s="281" t="s">
        <v>43</v>
      </c>
      <c r="Y55" s="281" t="s">
        <v>43</v>
      </c>
      <c r="Z55" s="281" t="s">
        <v>43</v>
      </c>
      <c r="AA55" s="281" t="s">
        <v>43</v>
      </c>
      <c r="AB55" s="281" t="s">
        <v>43</v>
      </c>
    </row>
    <row r="56" spans="1:56" ht="14.25" customHeight="1" x14ac:dyDescent="0.35">
      <c r="B56" s="275" t="s">
        <v>362</v>
      </c>
      <c r="C56" s="276"/>
      <c r="D56" s="277"/>
      <c r="E56" s="277"/>
      <c r="F56" s="277">
        <f>8674.8*0.7+17593.41+7573.05</f>
        <v>31238.819999999996</v>
      </c>
      <c r="G56" s="277"/>
      <c r="H56" s="277"/>
      <c r="I56" s="277"/>
      <c r="J56" s="277">
        <f t="shared" si="0"/>
        <v>31238.819999999996</v>
      </c>
      <c r="K56" s="277"/>
      <c r="L56" s="277"/>
      <c r="M56" s="289"/>
      <c r="N56" s="275" t="s">
        <v>465</v>
      </c>
      <c r="O56" s="290"/>
      <c r="P56" s="74"/>
      <c r="Q56" s="280"/>
      <c r="R56" s="280"/>
      <c r="S56" s="280"/>
      <c r="T56" s="270" t="s">
        <v>473</v>
      </c>
      <c r="U56" s="291"/>
      <c r="V56" s="10" t="s">
        <v>467</v>
      </c>
      <c r="W56" s="281" t="s">
        <v>43</v>
      </c>
      <c r="X56" s="281" t="s">
        <v>43</v>
      </c>
      <c r="Y56" s="281" t="s">
        <v>43</v>
      </c>
      <c r="Z56" s="281" t="s">
        <v>43</v>
      </c>
      <c r="AA56" s="281" t="s">
        <v>43</v>
      </c>
      <c r="AB56" s="281" t="s">
        <v>43</v>
      </c>
    </row>
    <row r="57" spans="1:56" ht="14.25" customHeight="1" x14ac:dyDescent="0.35">
      <c r="B57" s="275" t="s">
        <v>362</v>
      </c>
      <c r="C57" s="276"/>
      <c r="D57" s="277"/>
      <c r="E57" s="277"/>
      <c r="F57" s="277">
        <f>+(6109.8)*0.5+10945.17+4480.02</f>
        <v>18480.09</v>
      </c>
      <c r="G57" s="277"/>
      <c r="H57" s="277"/>
      <c r="I57" s="277"/>
      <c r="J57" s="277">
        <f t="shared" si="0"/>
        <v>18480.09</v>
      </c>
      <c r="K57" s="277"/>
      <c r="L57" s="277"/>
      <c r="M57" s="289"/>
      <c r="N57" s="275" t="s">
        <v>465</v>
      </c>
      <c r="O57" s="290"/>
      <c r="P57" s="74"/>
      <c r="Q57" s="280"/>
      <c r="R57" s="280"/>
      <c r="S57" s="280"/>
      <c r="T57" s="270" t="s">
        <v>474</v>
      </c>
      <c r="U57" s="291"/>
      <c r="V57" s="10" t="s">
        <v>467</v>
      </c>
      <c r="W57" s="281" t="s">
        <v>43</v>
      </c>
      <c r="X57" s="281" t="s">
        <v>43</v>
      </c>
      <c r="Y57" s="281" t="s">
        <v>43</v>
      </c>
      <c r="Z57" s="281" t="s">
        <v>43</v>
      </c>
      <c r="AA57" s="281" t="s">
        <v>43</v>
      </c>
      <c r="AB57" s="281" t="s">
        <v>43</v>
      </c>
    </row>
    <row r="58" spans="1:56" ht="14.25" customHeight="1" x14ac:dyDescent="0.35">
      <c r="B58" s="275" t="s">
        <v>362</v>
      </c>
      <c r="C58" s="276"/>
      <c r="D58" s="277"/>
      <c r="E58" s="277"/>
      <c r="F58" s="277">
        <f>+(8120.4+953.07+953.07)*0.5+10945.17+5106.7</f>
        <v>21065.14</v>
      </c>
      <c r="G58" s="277"/>
      <c r="H58" s="277"/>
      <c r="I58" s="277"/>
      <c r="J58" s="277">
        <f t="shared" si="0"/>
        <v>21065.14</v>
      </c>
      <c r="K58" s="277"/>
      <c r="L58" s="277"/>
      <c r="M58" s="289"/>
      <c r="N58" s="275" t="s">
        <v>465</v>
      </c>
      <c r="O58" s="290"/>
      <c r="P58" s="74"/>
      <c r="Q58" s="280"/>
      <c r="R58" s="280"/>
      <c r="S58" s="280"/>
      <c r="T58" s="270" t="s">
        <v>475</v>
      </c>
      <c r="U58" s="291"/>
      <c r="V58" s="10" t="s">
        <v>467</v>
      </c>
      <c r="W58" s="281" t="s">
        <v>43</v>
      </c>
      <c r="X58" s="281" t="s">
        <v>43</v>
      </c>
      <c r="Y58" s="281" t="s">
        <v>43</v>
      </c>
      <c r="Z58" s="281" t="s">
        <v>43</v>
      </c>
      <c r="AA58" s="281" t="s">
        <v>43</v>
      </c>
      <c r="AB58" s="281" t="s">
        <v>43</v>
      </c>
    </row>
    <row r="59" spans="1:56" x14ac:dyDescent="0.35">
      <c r="B59" s="275" t="s">
        <v>362</v>
      </c>
      <c r="C59" s="276"/>
      <c r="D59" s="277"/>
      <c r="E59" s="277"/>
      <c r="F59" s="277">
        <f>+(18728.88)*0.5+8239.68+5633.32</f>
        <v>23237.440000000002</v>
      </c>
      <c r="G59" s="277"/>
      <c r="H59" s="277"/>
      <c r="I59" s="277"/>
      <c r="J59" s="277">
        <f t="shared" si="0"/>
        <v>23237.440000000002</v>
      </c>
      <c r="K59" s="277"/>
      <c r="L59" s="277"/>
      <c r="M59" s="289"/>
      <c r="N59" s="275" t="s">
        <v>465</v>
      </c>
      <c r="O59" s="290"/>
      <c r="P59" s="74"/>
      <c r="Q59" s="280"/>
      <c r="R59" s="280"/>
      <c r="S59" s="280"/>
      <c r="T59" s="270" t="s">
        <v>476</v>
      </c>
      <c r="U59" s="291"/>
      <c r="V59" s="10" t="s">
        <v>467</v>
      </c>
      <c r="W59" s="281" t="s">
        <v>43</v>
      </c>
      <c r="X59" s="281" t="s">
        <v>43</v>
      </c>
      <c r="Y59" s="281" t="s">
        <v>43</v>
      </c>
      <c r="Z59" s="281" t="s">
        <v>43</v>
      </c>
      <c r="AA59" s="281" t="s">
        <v>43</v>
      </c>
      <c r="AB59" s="281" t="s">
        <v>43</v>
      </c>
    </row>
    <row r="60" spans="1:56" ht="29" x14ac:dyDescent="0.35">
      <c r="B60" s="275" t="s">
        <v>362</v>
      </c>
      <c r="C60" s="276"/>
      <c r="D60" s="277"/>
      <c r="E60" s="277"/>
      <c r="F60" s="277">
        <f>11295.48*0.5+10945.17+5309.73</f>
        <v>21902.639999999999</v>
      </c>
      <c r="G60" s="277"/>
      <c r="H60" s="277"/>
      <c r="I60" s="277"/>
      <c r="J60" s="277">
        <f t="shared" si="0"/>
        <v>21902.639999999999</v>
      </c>
      <c r="K60" s="277"/>
      <c r="L60" s="277"/>
      <c r="M60" s="289"/>
      <c r="N60" s="275" t="s">
        <v>465</v>
      </c>
      <c r="O60" s="290"/>
      <c r="P60" s="74"/>
      <c r="Q60" s="280"/>
      <c r="R60" s="280"/>
      <c r="S60" s="280"/>
      <c r="T60" s="270" t="s">
        <v>477</v>
      </c>
      <c r="U60" s="291"/>
      <c r="V60" s="10" t="s">
        <v>467</v>
      </c>
      <c r="W60" s="281" t="s">
        <v>43</v>
      </c>
      <c r="X60" s="281" t="s">
        <v>43</v>
      </c>
      <c r="Y60" s="281" t="s">
        <v>43</v>
      </c>
      <c r="Z60" s="281" t="s">
        <v>43</v>
      </c>
      <c r="AA60" s="281" t="s">
        <v>43</v>
      </c>
      <c r="AB60" s="281" t="s">
        <v>43</v>
      </c>
    </row>
    <row r="61" spans="1:56" ht="29" x14ac:dyDescent="0.35">
      <c r="B61" s="275" t="s">
        <v>362</v>
      </c>
      <c r="C61" s="276"/>
      <c r="D61" s="277"/>
      <c r="E61" s="277"/>
      <c r="F61" s="277">
        <v>40000</v>
      </c>
      <c r="G61" s="277"/>
      <c r="H61" s="277"/>
      <c r="I61" s="277"/>
      <c r="J61" s="277">
        <f t="shared" si="0"/>
        <v>40000</v>
      </c>
      <c r="K61" s="277"/>
      <c r="L61" s="277"/>
      <c r="M61" s="275"/>
      <c r="N61" s="275" t="s">
        <v>468</v>
      </c>
      <c r="O61" s="288"/>
      <c r="P61" s="74"/>
      <c r="Q61" s="280"/>
      <c r="R61" s="280"/>
      <c r="S61" s="280"/>
      <c r="T61" s="287" t="s">
        <v>478</v>
      </c>
      <c r="U61" s="260"/>
      <c r="V61" s="10" t="s">
        <v>470</v>
      </c>
      <c r="W61" s="281" t="s">
        <v>43</v>
      </c>
      <c r="X61" s="281" t="s">
        <v>43</v>
      </c>
      <c r="Y61" s="281" t="s">
        <v>43</v>
      </c>
      <c r="Z61" s="281" t="s">
        <v>43</v>
      </c>
      <c r="AA61" s="281" t="s">
        <v>43</v>
      </c>
      <c r="AB61" s="281" t="s">
        <v>43</v>
      </c>
    </row>
    <row r="62" spans="1:56" x14ac:dyDescent="0.35">
      <c r="B62" s="80"/>
      <c r="C62" s="203"/>
      <c r="D62" s="257"/>
      <c r="E62" s="257"/>
      <c r="F62" s="257"/>
      <c r="G62" s="257"/>
      <c r="H62" s="257"/>
      <c r="I62" s="257"/>
      <c r="J62" s="277">
        <f t="shared" si="0"/>
        <v>0</v>
      </c>
      <c r="K62" s="277">
        <f t="shared" si="1"/>
        <v>0</v>
      </c>
      <c r="L62" s="227" t="s">
        <v>479</v>
      </c>
      <c r="M62" s="257"/>
      <c r="N62" s="80"/>
      <c r="O62" s="165"/>
      <c r="P62" s="258"/>
      <c r="Q62" s="259"/>
      <c r="R62" s="259"/>
      <c r="S62" s="259"/>
      <c r="T62" s="260"/>
      <c r="U62" s="260"/>
      <c r="V62" s="292"/>
      <c r="W62" s="281" t="s">
        <v>43</v>
      </c>
      <c r="X62" s="281" t="s">
        <v>43</v>
      </c>
      <c r="Y62" s="261"/>
      <c r="Z62" s="261"/>
      <c r="AA62" s="261"/>
      <c r="AB62" s="45"/>
    </row>
    <row r="63" spans="1:56" x14ac:dyDescent="0.35"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253"/>
      <c r="Y63" s="253"/>
      <c r="Z63" s="253"/>
      <c r="AA63" s="253"/>
      <c r="AB63" s="253"/>
    </row>
    <row r="64" spans="1:56" x14ac:dyDescent="0.35">
      <c r="B64" s="272" t="s">
        <v>480</v>
      </c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253"/>
      <c r="AA64" s="253"/>
      <c r="AB64" s="253"/>
      <c r="AC64" s="126"/>
      <c r="AD64" s="126"/>
    </row>
    <row r="65" spans="2:29" ht="19" thickBot="1" x14ac:dyDescent="0.5">
      <c r="B65" s="273" t="s">
        <v>17</v>
      </c>
      <c r="C65" s="213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</row>
    <row r="66" spans="2:29" ht="33.75" customHeight="1" thickBot="1" x14ac:dyDescent="0.4">
      <c r="B66" s="2" t="s">
        <v>344</v>
      </c>
      <c r="C66" s="2" t="s">
        <v>2</v>
      </c>
      <c r="D66" s="2" t="s">
        <v>381</v>
      </c>
      <c r="E66" s="2" t="s">
        <v>382</v>
      </c>
      <c r="F66" s="2" t="s">
        <v>383</v>
      </c>
      <c r="G66" s="2" t="s">
        <v>14</v>
      </c>
      <c r="H66" s="2" t="s">
        <v>18</v>
      </c>
      <c r="I66" s="2" t="s">
        <v>15</v>
      </c>
      <c r="J66" s="2" t="s">
        <v>10</v>
      </c>
      <c r="K66" s="2" t="s">
        <v>23</v>
      </c>
      <c r="L66" s="2" t="s">
        <v>16</v>
      </c>
      <c r="M66" s="2" t="s">
        <v>3</v>
      </c>
      <c r="N66" s="2" t="s">
        <v>11</v>
      </c>
      <c r="O66" s="2" t="s">
        <v>4</v>
      </c>
      <c r="P66" s="2" t="s">
        <v>5</v>
      </c>
      <c r="Q66" s="2" t="s">
        <v>24</v>
      </c>
      <c r="R66" s="2" t="s">
        <v>25</v>
      </c>
      <c r="S66" s="2" t="s">
        <v>26</v>
      </c>
      <c r="T66" s="105" t="s">
        <v>27</v>
      </c>
      <c r="U66" s="2" t="s">
        <v>6</v>
      </c>
      <c r="V66" s="2" t="s">
        <v>7</v>
      </c>
      <c r="W66" s="2" t="s">
        <v>28</v>
      </c>
      <c r="X66" s="2" t="s">
        <v>29</v>
      </c>
      <c r="Y66" s="2" t="s">
        <v>384</v>
      </c>
      <c r="Z66" s="2" t="s">
        <v>385</v>
      </c>
      <c r="AA66" s="3" t="s">
        <v>8</v>
      </c>
      <c r="AB66" s="3" t="s">
        <v>9</v>
      </c>
    </row>
    <row r="67" spans="2:29" x14ac:dyDescent="0.35">
      <c r="B67" s="275"/>
      <c r="C67" s="293"/>
      <c r="D67" s="277"/>
      <c r="E67" s="277"/>
      <c r="F67" s="277"/>
      <c r="G67" s="277"/>
      <c r="H67" s="277"/>
      <c r="I67" s="277"/>
      <c r="J67" s="277"/>
      <c r="K67" s="277"/>
      <c r="L67" s="275"/>
      <c r="M67" s="275"/>
      <c r="N67" s="275"/>
      <c r="O67" s="288"/>
      <c r="P67" s="74"/>
      <c r="Q67" s="280"/>
      <c r="R67" s="280"/>
      <c r="S67" s="280"/>
      <c r="T67" s="294"/>
      <c r="U67" s="294"/>
      <c r="V67" s="10"/>
      <c r="W67" s="281"/>
      <c r="X67" s="281" t="s">
        <v>0</v>
      </c>
      <c r="Y67" s="281"/>
      <c r="Z67" s="281"/>
      <c r="AA67" s="281"/>
      <c r="AB67" s="281"/>
    </row>
    <row r="68" spans="2:29" x14ac:dyDescent="0.35">
      <c r="B68" s="275"/>
      <c r="C68" s="256"/>
      <c r="D68" s="277"/>
      <c r="E68" s="277"/>
      <c r="F68" s="277"/>
      <c r="G68" s="277"/>
      <c r="H68" s="277"/>
      <c r="I68" s="277"/>
      <c r="J68" s="277"/>
      <c r="K68" s="277"/>
      <c r="L68" s="275"/>
      <c r="M68" s="275"/>
      <c r="N68" s="275"/>
      <c r="O68" s="288"/>
      <c r="P68" s="74"/>
      <c r="Q68" s="280"/>
      <c r="R68" s="280"/>
      <c r="S68" s="280"/>
      <c r="T68" s="294"/>
      <c r="U68" s="294"/>
      <c r="V68" s="10"/>
      <c r="W68" s="281"/>
      <c r="X68" s="281"/>
      <c r="Y68" s="281"/>
      <c r="Z68" s="281"/>
      <c r="AA68" s="281"/>
      <c r="AB68" s="281"/>
    </row>
    <row r="69" spans="2:29" x14ac:dyDescent="0.35">
      <c r="B69" s="275"/>
      <c r="C69" s="256"/>
      <c r="D69" s="277"/>
      <c r="E69" s="277"/>
      <c r="F69" s="277"/>
      <c r="G69" s="277"/>
      <c r="H69" s="277"/>
      <c r="I69" s="277"/>
      <c r="J69" s="277"/>
      <c r="K69" s="277"/>
      <c r="L69" s="275"/>
      <c r="M69" s="275"/>
      <c r="N69" s="275"/>
      <c r="O69" s="288"/>
      <c r="P69" s="74"/>
      <c r="Q69" s="280"/>
      <c r="R69" s="280"/>
      <c r="S69" s="280"/>
      <c r="T69" s="294"/>
      <c r="U69" s="294"/>
      <c r="V69" s="10"/>
      <c r="W69" s="281"/>
      <c r="X69" s="281"/>
      <c r="Y69" s="281"/>
      <c r="Z69" s="281"/>
      <c r="AA69" s="281"/>
      <c r="AB69" s="281"/>
    </row>
    <row r="70" spans="2:29" x14ac:dyDescent="0.35">
      <c r="B70" s="80"/>
      <c r="C70" s="256"/>
      <c r="D70" s="257"/>
      <c r="E70" s="257"/>
      <c r="F70" s="257"/>
      <c r="G70" s="257"/>
      <c r="H70" s="257"/>
      <c r="I70" s="257"/>
      <c r="J70" s="257"/>
      <c r="K70" s="257"/>
      <c r="L70" s="80"/>
      <c r="M70" s="80"/>
      <c r="N70" s="80"/>
      <c r="O70" s="165"/>
      <c r="P70" s="258"/>
      <c r="Q70" s="259"/>
      <c r="R70" s="259"/>
      <c r="S70" s="259"/>
      <c r="T70" s="260"/>
      <c r="U70" s="260"/>
      <c r="V70" s="16"/>
      <c r="W70" s="261"/>
      <c r="X70" s="261"/>
      <c r="Y70" s="261"/>
      <c r="Z70" s="261"/>
      <c r="AA70" s="261"/>
      <c r="AB70" s="261"/>
    </row>
    <row r="71" spans="2:29" x14ac:dyDescent="0.35">
      <c r="B71" s="80"/>
      <c r="C71" s="256"/>
      <c r="D71" s="257"/>
      <c r="E71" s="257"/>
      <c r="F71" s="257"/>
      <c r="G71" s="257"/>
      <c r="H71" s="257"/>
      <c r="I71" s="257"/>
      <c r="J71" s="257"/>
      <c r="K71" s="257"/>
      <c r="L71" s="80"/>
      <c r="M71" s="80"/>
      <c r="N71" s="80"/>
      <c r="O71" s="165"/>
      <c r="P71" s="258"/>
      <c r="Q71" s="259"/>
      <c r="R71" s="259"/>
      <c r="S71" s="259"/>
      <c r="T71" s="260"/>
      <c r="U71" s="260"/>
      <c r="V71" s="16"/>
      <c r="W71" s="261"/>
      <c r="X71" s="261"/>
      <c r="Y71" s="261"/>
      <c r="Z71" s="261"/>
      <c r="AA71" s="261"/>
      <c r="AB71" s="261"/>
    </row>
    <row r="72" spans="2:29" x14ac:dyDescent="0.35">
      <c r="B72" s="80"/>
      <c r="C72" s="256"/>
      <c r="D72" s="257"/>
      <c r="E72" s="257"/>
      <c r="F72" s="257"/>
      <c r="G72" s="257"/>
      <c r="H72" s="257"/>
      <c r="I72" s="257"/>
      <c r="J72" s="257"/>
      <c r="K72" s="257"/>
      <c r="L72" s="80"/>
      <c r="M72" s="80"/>
      <c r="N72" s="80"/>
      <c r="O72" s="165"/>
      <c r="P72" s="258"/>
      <c r="Q72" s="259"/>
      <c r="R72" s="259"/>
      <c r="S72" s="259"/>
      <c r="T72" s="260"/>
      <c r="U72" s="260"/>
      <c r="V72" s="16"/>
      <c r="W72" s="261"/>
      <c r="X72" s="261"/>
      <c r="Y72" s="261"/>
      <c r="Z72" s="261"/>
      <c r="AA72" s="261"/>
      <c r="AB72" s="261"/>
    </row>
    <row r="73" spans="2:29" x14ac:dyDescent="0.35">
      <c r="B73" s="127"/>
      <c r="C73" s="127"/>
      <c r="D73" s="128"/>
      <c r="E73" s="129"/>
      <c r="F73" s="129"/>
      <c r="G73" s="129"/>
      <c r="H73" s="129"/>
      <c r="I73" s="129"/>
      <c r="J73" s="129"/>
      <c r="K73" s="129"/>
      <c r="L73" s="129"/>
      <c r="M73" s="127"/>
      <c r="N73" s="127"/>
      <c r="O73" s="127"/>
      <c r="P73" s="130"/>
      <c r="Q73" s="131"/>
      <c r="R73" s="132"/>
      <c r="S73" s="132"/>
      <c r="T73" s="132"/>
      <c r="U73" s="133"/>
      <c r="V73" s="133"/>
      <c r="W73" s="134"/>
      <c r="X73" s="126"/>
      <c r="Y73" s="126"/>
      <c r="Z73" s="126"/>
      <c r="AA73" s="126"/>
      <c r="AB73" s="126"/>
      <c r="AC73" s="126"/>
    </row>
    <row r="74" spans="2:29" x14ac:dyDescent="0.35">
      <c r="B74" s="127"/>
      <c r="C74" s="127"/>
      <c r="D74" s="128"/>
      <c r="E74" s="129"/>
      <c r="F74" s="129"/>
      <c r="G74" s="129"/>
      <c r="H74" s="129"/>
      <c r="I74" s="129"/>
      <c r="J74" s="129"/>
      <c r="K74" s="129"/>
      <c r="L74" s="129"/>
      <c r="M74" s="127"/>
      <c r="N74" s="127"/>
      <c r="O74" s="127"/>
      <c r="P74" s="130"/>
      <c r="Q74" s="131"/>
      <c r="R74" s="132"/>
      <c r="S74" s="132"/>
      <c r="T74" s="132"/>
      <c r="U74" s="133"/>
      <c r="V74" s="133"/>
      <c r="W74" s="134"/>
      <c r="X74" s="126"/>
      <c r="Y74" s="126"/>
      <c r="Z74" s="126"/>
      <c r="AA74" s="126"/>
      <c r="AB74" s="126"/>
      <c r="AC74" s="126"/>
    </row>
    <row r="75" spans="2:29" x14ac:dyDescent="0.35">
      <c r="B75" s="135"/>
      <c r="C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  <c r="Q75" s="135"/>
    </row>
    <row r="76" spans="2:29" ht="18.5" x14ac:dyDescent="0.45">
      <c r="B76" s="18"/>
      <c r="C76" s="1"/>
    </row>
    <row r="77" spans="2:29" x14ac:dyDescent="0.35">
      <c r="B77" s="100"/>
      <c r="C77" s="100"/>
    </row>
    <row r="78" spans="2:29" x14ac:dyDescent="0.35">
      <c r="B78" s="143"/>
      <c r="C78" s="143"/>
    </row>
    <row r="79" spans="2:29" x14ac:dyDescent="0.35">
      <c r="B79" s="143"/>
      <c r="C79" s="143"/>
    </row>
    <row r="80" spans="2:29" x14ac:dyDescent="0.35">
      <c r="B80" s="143"/>
      <c r="C80" s="143"/>
    </row>
    <row r="81" spans="2:3" x14ac:dyDescent="0.35">
      <c r="B81" s="143"/>
      <c r="C81" s="143"/>
    </row>
    <row r="82" spans="2:3" x14ac:dyDescent="0.35">
      <c r="B82" s="143"/>
      <c r="C82" s="143"/>
    </row>
    <row r="83" spans="2:3" x14ac:dyDescent="0.35">
      <c r="B83" s="143"/>
      <c r="C83" s="143"/>
    </row>
  </sheetData>
  <mergeCells count="3">
    <mergeCell ref="C4:E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8" scale="4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58"/>
  <sheetViews>
    <sheetView zoomScaleNormal="100" workbookViewId="0">
      <selection activeCell="B2" sqref="B2:AB44"/>
    </sheetView>
  </sheetViews>
  <sheetFormatPr defaultColWidth="11.453125" defaultRowHeight="14.5" x14ac:dyDescent="0.35"/>
  <cols>
    <col min="1" max="1" width="14.7265625" customWidth="1"/>
    <col min="2" max="2" width="20.1796875" style="20" customWidth="1"/>
    <col min="3" max="3" width="13.54296875" customWidth="1"/>
    <col min="4" max="4" width="13.54296875" style="20" customWidth="1"/>
    <col min="5" max="15" width="25.54296875" customWidth="1"/>
    <col min="16" max="16" width="18.81640625" customWidth="1"/>
    <col min="17" max="17" width="19.54296875" customWidth="1"/>
    <col min="18" max="18" width="15.453125" customWidth="1"/>
    <col min="19" max="22" width="25.54296875" customWidth="1"/>
    <col min="23" max="23" width="22.1796875" style="21" customWidth="1"/>
    <col min="24" max="24" width="29.453125" customWidth="1"/>
    <col min="25" max="30" width="25.54296875" customWidth="1"/>
  </cols>
  <sheetData>
    <row r="2" spans="2:28" ht="18.5" x14ac:dyDescent="0.45">
      <c r="B2" s="18" t="s">
        <v>13</v>
      </c>
      <c r="C2" s="1"/>
    </row>
    <row r="3" spans="2:28" x14ac:dyDescent="0.35">
      <c r="B3" s="22"/>
      <c r="C3" s="23"/>
      <c r="F3" s="23"/>
      <c r="Q3" s="23"/>
      <c r="R3" s="23"/>
      <c r="S3" s="23"/>
    </row>
    <row r="4" spans="2:28" ht="15.5" x14ac:dyDescent="0.35">
      <c r="B4" s="24" t="s">
        <v>12</v>
      </c>
      <c r="C4" s="423" t="s">
        <v>33</v>
      </c>
      <c r="D4" s="424"/>
      <c r="E4" s="428"/>
      <c r="Q4" s="23"/>
      <c r="R4" s="23"/>
      <c r="S4" s="23"/>
    </row>
    <row r="5" spans="2:28" ht="15.5" x14ac:dyDescent="0.35">
      <c r="B5" s="24" t="s">
        <v>20</v>
      </c>
      <c r="C5" s="423" t="s">
        <v>237</v>
      </c>
      <c r="D5" s="424" t="s">
        <v>34</v>
      </c>
      <c r="E5" s="49"/>
      <c r="Q5" s="23"/>
      <c r="R5" s="23"/>
      <c r="S5" s="23"/>
    </row>
    <row r="6" spans="2:28" ht="15.5" x14ac:dyDescent="0.35">
      <c r="B6" s="25" t="s">
        <v>19</v>
      </c>
      <c r="C6" s="423" t="s">
        <v>238</v>
      </c>
      <c r="D6" s="424"/>
      <c r="E6" s="49"/>
      <c r="Q6" s="23"/>
      <c r="R6" s="23"/>
      <c r="S6" s="23"/>
    </row>
    <row r="7" spans="2:28" ht="15.5" x14ac:dyDescent="0.35">
      <c r="B7" s="24" t="s">
        <v>32</v>
      </c>
      <c r="C7" s="47">
        <v>45629</v>
      </c>
      <c r="D7" s="48"/>
      <c r="E7" s="50"/>
    </row>
    <row r="8" spans="2:28" ht="15" thickBot="1" x14ac:dyDescent="0.4">
      <c r="B8" s="29"/>
      <c r="G8" s="27"/>
      <c r="N8" s="26"/>
      <c r="O8" s="30"/>
      <c r="P8" s="26"/>
      <c r="Q8" s="28"/>
    </row>
    <row r="9" spans="2:28" ht="33.75" customHeight="1" thickBot="1" x14ac:dyDescent="0.4">
      <c r="B9" s="2" t="s">
        <v>344</v>
      </c>
      <c r="C9" s="2" t="s">
        <v>2</v>
      </c>
      <c r="D9" s="2" t="s">
        <v>21</v>
      </c>
      <c r="E9" s="2" t="s">
        <v>1</v>
      </c>
      <c r="F9" s="2" t="s">
        <v>22</v>
      </c>
      <c r="G9" s="2" t="s">
        <v>14</v>
      </c>
      <c r="H9" s="2" t="s">
        <v>18</v>
      </c>
      <c r="I9" s="2" t="s">
        <v>15</v>
      </c>
      <c r="J9" s="2" t="s">
        <v>10</v>
      </c>
      <c r="K9" s="2" t="s">
        <v>23</v>
      </c>
      <c r="L9" s="2" t="s">
        <v>16</v>
      </c>
      <c r="M9" s="2" t="s">
        <v>3</v>
      </c>
      <c r="N9" s="2" t="s">
        <v>11</v>
      </c>
      <c r="O9" s="2" t="s">
        <v>4</v>
      </c>
      <c r="P9" s="2" t="s">
        <v>5</v>
      </c>
      <c r="Q9" s="2" t="s">
        <v>24</v>
      </c>
      <c r="R9" s="2" t="s">
        <v>25</v>
      </c>
      <c r="S9" s="2" t="s">
        <v>26</v>
      </c>
      <c r="T9" s="2" t="s">
        <v>27</v>
      </c>
      <c r="U9" s="19" t="s">
        <v>6</v>
      </c>
      <c r="V9" s="19" t="s">
        <v>7</v>
      </c>
      <c r="W9" s="19" t="s">
        <v>28</v>
      </c>
      <c r="X9" s="19" t="s">
        <v>29</v>
      </c>
      <c r="Y9" s="19" t="s">
        <v>30</v>
      </c>
      <c r="Z9" s="19" t="s">
        <v>31</v>
      </c>
      <c r="AA9" s="57" t="s">
        <v>8</v>
      </c>
      <c r="AB9" s="57" t="s">
        <v>9</v>
      </c>
    </row>
    <row r="10" spans="2:28" ht="36" x14ac:dyDescent="0.35">
      <c r="B10" s="275" t="s">
        <v>43</v>
      </c>
      <c r="C10" s="256"/>
      <c r="D10" s="340">
        <v>27740.3</v>
      </c>
      <c r="E10" s="401">
        <v>2961.4411162790702</v>
      </c>
      <c r="F10" s="340">
        <v>21144.50865</v>
      </c>
      <c r="G10" s="340" t="s">
        <v>37</v>
      </c>
      <c r="H10" s="340">
        <v>3371.3661137931035</v>
      </c>
      <c r="I10" s="340">
        <v>3371.3661137931035</v>
      </c>
      <c r="J10" s="340">
        <v>51846.24976627907</v>
      </c>
      <c r="K10" s="340">
        <v>68437.04969148837</v>
      </c>
      <c r="L10" s="340" t="s">
        <v>38</v>
      </c>
      <c r="M10" s="401">
        <v>100</v>
      </c>
      <c r="N10" s="253"/>
      <c r="O10" s="401" t="s">
        <v>239</v>
      </c>
      <c r="P10" s="401">
        <v>0</v>
      </c>
      <c r="Q10" s="402">
        <v>1</v>
      </c>
      <c r="R10" s="403">
        <v>1</v>
      </c>
      <c r="S10" s="404">
        <v>0</v>
      </c>
      <c r="T10" s="74" t="s">
        <v>68</v>
      </c>
      <c r="U10" s="345" t="s">
        <v>51</v>
      </c>
      <c r="V10" s="261"/>
      <c r="W10" s="261"/>
      <c r="X10" s="261"/>
      <c r="Y10" s="261"/>
      <c r="Z10" s="261"/>
      <c r="AA10" s="261"/>
      <c r="AB10" s="261"/>
    </row>
    <row r="11" spans="2:28" ht="36" x14ac:dyDescent="0.35">
      <c r="B11" s="275" t="s">
        <v>43</v>
      </c>
      <c r="C11" s="256"/>
      <c r="D11" s="340">
        <v>27740.3</v>
      </c>
      <c r="E11" s="401">
        <v>9391.245828503841</v>
      </c>
      <c r="F11" s="340">
        <v>10589.9823</v>
      </c>
      <c r="G11" s="340" t="s">
        <v>37</v>
      </c>
      <c r="H11" s="340">
        <v>2643.4677448275861</v>
      </c>
      <c r="I11" s="340">
        <v>2643.4677448275861</v>
      </c>
      <c r="J11" s="340">
        <v>47721.528128503836</v>
      </c>
      <c r="K11" s="340">
        <v>62992.417129625064</v>
      </c>
      <c r="L11" s="340" t="s">
        <v>38</v>
      </c>
      <c r="M11" s="401">
        <v>100</v>
      </c>
      <c r="N11" s="253"/>
      <c r="O11" s="401" t="s">
        <v>240</v>
      </c>
      <c r="P11" s="401">
        <v>0</v>
      </c>
      <c r="Q11" s="402">
        <v>1</v>
      </c>
      <c r="R11" s="403">
        <v>1</v>
      </c>
      <c r="S11" s="404">
        <v>0</v>
      </c>
      <c r="T11" s="74" t="s">
        <v>50</v>
      </c>
      <c r="U11" s="345" t="s">
        <v>51</v>
      </c>
      <c r="V11" s="261"/>
      <c r="W11" s="261"/>
      <c r="X11" s="261"/>
      <c r="Y11" s="261"/>
      <c r="Z11" s="261"/>
      <c r="AA11" s="261"/>
      <c r="AB11" s="261"/>
    </row>
    <row r="12" spans="2:28" ht="36" x14ac:dyDescent="0.35">
      <c r="B12" s="275" t="s">
        <v>43</v>
      </c>
      <c r="C12" s="256"/>
      <c r="D12" s="340">
        <v>19320.559999999998</v>
      </c>
      <c r="E12" s="401">
        <v>3987.3947527749742</v>
      </c>
      <c r="F12" s="340">
        <v>4806.3551999999981</v>
      </c>
      <c r="G12" s="340" t="s">
        <v>37</v>
      </c>
      <c r="H12" s="340">
        <v>1663.9251862068963</v>
      </c>
      <c r="I12" s="340">
        <v>1663.9251862068963</v>
      </c>
      <c r="J12" s="340">
        <v>28114.309952774969</v>
      </c>
      <c r="K12" s="340">
        <v>37110.889137662962</v>
      </c>
      <c r="L12" s="340" t="s">
        <v>38</v>
      </c>
      <c r="M12" s="401">
        <v>100</v>
      </c>
      <c r="N12" s="253"/>
      <c r="O12" s="401" t="s">
        <v>241</v>
      </c>
      <c r="P12" s="401">
        <v>0</v>
      </c>
      <c r="Q12" s="402">
        <v>1</v>
      </c>
      <c r="R12" s="403">
        <v>1</v>
      </c>
      <c r="S12" s="404">
        <v>0</v>
      </c>
      <c r="T12" s="74" t="s">
        <v>40</v>
      </c>
      <c r="U12" s="345" t="s">
        <v>41</v>
      </c>
      <c r="V12" s="261"/>
      <c r="W12" s="261"/>
      <c r="X12" s="261"/>
      <c r="Y12" s="261"/>
      <c r="Z12" s="261"/>
      <c r="AA12" s="261"/>
      <c r="AB12" s="261"/>
    </row>
    <row r="13" spans="2:28" ht="36" x14ac:dyDescent="0.35">
      <c r="B13" s="275" t="s">
        <v>43</v>
      </c>
      <c r="C13" s="256"/>
      <c r="D13" s="340">
        <v>19320.559999999998</v>
      </c>
      <c r="E13" s="401">
        <v>2823.1609271523184</v>
      </c>
      <c r="F13" s="340">
        <v>3626.1861000000026</v>
      </c>
      <c r="G13" s="340" t="s">
        <v>37</v>
      </c>
      <c r="H13" s="340">
        <v>1582.5342137931034</v>
      </c>
      <c r="I13" s="340">
        <v>1582.5342137931034</v>
      </c>
      <c r="J13" s="340">
        <v>25769.90702715232</v>
      </c>
      <c r="K13" s="340">
        <v>34016.277275841065</v>
      </c>
      <c r="L13" s="340" t="s">
        <v>38</v>
      </c>
      <c r="M13" s="401">
        <v>189</v>
      </c>
      <c r="N13" s="253"/>
      <c r="O13" s="401" t="s">
        <v>242</v>
      </c>
      <c r="P13" s="401">
        <v>0</v>
      </c>
      <c r="Q13" s="402">
        <v>1</v>
      </c>
      <c r="R13" s="403">
        <v>1</v>
      </c>
      <c r="S13" s="404">
        <v>0</v>
      </c>
      <c r="T13" s="74" t="s">
        <v>53</v>
      </c>
      <c r="U13" s="345" t="s">
        <v>243</v>
      </c>
      <c r="V13" s="261"/>
      <c r="W13" s="261"/>
      <c r="X13" s="261"/>
      <c r="Y13" s="261"/>
      <c r="Z13" s="261"/>
      <c r="AA13" s="261"/>
      <c r="AB13" s="261"/>
    </row>
    <row r="14" spans="2:28" ht="36" x14ac:dyDescent="0.35">
      <c r="B14" s="275" t="s">
        <v>36</v>
      </c>
      <c r="C14" s="256"/>
      <c r="D14" s="340">
        <v>19320.559999999998</v>
      </c>
      <c r="E14" s="401">
        <v>3987.3947527749742</v>
      </c>
      <c r="F14" s="340">
        <v>3070.4325000000026</v>
      </c>
      <c r="G14" s="340" t="s">
        <v>37</v>
      </c>
      <c r="H14" s="340">
        <v>1544.2063793103448</v>
      </c>
      <c r="I14" s="340">
        <v>1544.2063793103448</v>
      </c>
      <c r="J14" s="340">
        <v>26378.387252774974</v>
      </c>
      <c r="K14" s="340">
        <v>34819.471173662969</v>
      </c>
      <c r="L14" s="340" t="s">
        <v>38</v>
      </c>
      <c r="M14" s="401">
        <v>189</v>
      </c>
      <c r="N14" s="253"/>
      <c r="O14" s="401" t="s">
        <v>244</v>
      </c>
      <c r="P14" s="401">
        <v>0</v>
      </c>
      <c r="Q14" s="402">
        <v>1</v>
      </c>
      <c r="R14" s="403">
        <v>1</v>
      </c>
      <c r="S14" s="404">
        <v>0</v>
      </c>
      <c r="T14" s="74" t="s">
        <v>40</v>
      </c>
      <c r="U14" s="345" t="s">
        <v>41</v>
      </c>
      <c r="V14" s="261"/>
      <c r="W14" s="261"/>
      <c r="X14" s="261"/>
      <c r="Y14" s="261"/>
      <c r="Z14" s="261"/>
      <c r="AA14" s="261"/>
      <c r="AB14" s="261"/>
    </row>
    <row r="15" spans="2:28" ht="36" x14ac:dyDescent="0.35">
      <c r="B15" s="275" t="s">
        <v>43</v>
      </c>
      <c r="C15" s="256"/>
      <c r="D15" s="340">
        <v>27740.3</v>
      </c>
      <c r="E15" s="401">
        <v>9391.245828503841</v>
      </c>
      <c r="F15" s="340">
        <v>8400.9572999999982</v>
      </c>
      <c r="G15" s="340" t="s">
        <v>37</v>
      </c>
      <c r="H15" s="340">
        <v>2492.5005034482756</v>
      </c>
      <c r="I15" s="340">
        <v>2492.5005034482756</v>
      </c>
      <c r="J15" s="340">
        <v>45532.503128503842</v>
      </c>
      <c r="K15" s="340">
        <v>60102.904129625073</v>
      </c>
      <c r="L15" s="340" t="s">
        <v>38</v>
      </c>
      <c r="M15" s="401">
        <v>189</v>
      </c>
      <c r="N15" s="253"/>
      <c r="O15" s="401" t="s">
        <v>245</v>
      </c>
      <c r="P15" s="401">
        <v>0</v>
      </c>
      <c r="Q15" s="402">
        <v>1</v>
      </c>
      <c r="R15" s="403">
        <v>1</v>
      </c>
      <c r="S15" s="404">
        <v>0</v>
      </c>
      <c r="T15" s="74" t="s">
        <v>50</v>
      </c>
      <c r="U15" s="345" t="s">
        <v>51</v>
      </c>
      <c r="V15" s="261"/>
      <c r="W15" s="261"/>
      <c r="X15" s="261"/>
      <c r="Y15" s="261"/>
      <c r="Z15" s="261"/>
      <c r="AA15" s="261"/>
      <c r="AB15" s="261"/>
    </row>
    <row r="16" spans="2:28" ht="36" x14ac:dyDescent="0.35">
      <c r="B16" s="275" t="s">
        <v>43</v>
      </c>
      <c r="C16" s="256"/>
      <c r="D16" s="340">
        <v>27740.3</v>
      </c>
      <c r="E16" s="401">
        <v>9391.245828503841</v>
      </c>
      <c r="F16" s="340">
        <v>6411.045599999994</v>
      </c>
      <c r="G16" s="340" t="s">
        <v>37</v>
      </c>
      <c r="H16" s="340">
        <v>2355.2652137931032</v>
      </c>
      <c r="I16" s="340">
        <v>2355.2652137931032</v>
      </c>
      <c r="J16" s="340">
        <v>43542.591428503831</v>
      </c>
      <c r="K16" s="340">
        <v>57476.220685625056</v>
      </c>
      <c r="L16" s="340" t="s">
        <v>38</v>
      </c>
      <c r="M16" s="401">
        <v>189</v>
      </c>
      <c r="N16" s="253"/>
      <c r="O16" s="401" t="s">
        <v>246</v>
      </c>
      <c r="P16" s="401">
        <v>0</v>
      </c>
      <c r="Q16" s="402">
        <v>1</v>
      </c>
      <c r="R16" s="403">
        <v>1</v>
      </c>
      <c r="S16" s="404">
        <v>0</v>
      </c>
      <c r="T16" s="74" t="s">
        <v>50</v>
      </c>
      <c r="U16" s="345" t="s">
        <v>51</v>
      </c>
      <c r="V16" s="261"/>
      <c r="W16" s="261"/>
      <c r="X16" s="261"/>
      <c r="Y16" s="261"/>
      <c r="Z16" s="261"/>
      <c r="AA16" s="261"/>
      <c r="AB16" s="261"/>
    </row>
    <row r="17" spans="2:28" ht="36" x14ac:dyDescent="0.35">
      <c r="B17" s="275" t="s">
        <v>43</v>
      </c>
      <c r="C17" s="256"/>
      <c r="D17" s="340">
        <v>17146.919999999998</v>
      </c>
      <c r="E17" s="401">
        <v>2325.6560294117644</v>
      </c>
      <c r="F17" s="340">
        <v>3193.9651999999987</v>
      </c>
      <c r="G17" s="340" t="s">
        <v>37</v>
      </c>
      <c r="H17" s="340">
        <v>1402.8196689655169</v>
      </c>
      <c r="I17" s="340">
        <v>1402.8196689655169</v>
      </c>
      <c r="J17" s="340">
        <v>22666.541229411763</v>
      </c>
      <c r="K17" s="340">
        <v>29919.834422823529</v>
      </c>
      <c r="L17" s="340" t="s">
        <v>38</v>
      </c>
      <c r="M17" s="401">
        <v>189</v>
      </c>
      <c r="N17" s="253"/>
      <c r="O17" s="401" t="s">
        <v>247</v>
      </c>
      <c r="P17" s="401">
        <v>0</v>
      </c>
      <c r="Q17" s="402">
        <v>1</v>
      </c>
      <c r="R17" s="403">
        <v>1</v>
      </c>
      <c r="S17" s="404">
        <v>0</v>
      </c>
      <c r="T17" s="74" t="s">
        <v>57</v>
      </c>
      <c r="U17" s="345" t="s">
        <v>58</v>
      </c>
      <c r="V17" s="261"/>
      <c r="W17" s="261"/>
      <c r="X17" s="261"/>
      <c r="Y17" s="261"/>
      <c r="Z17" s="261"/>
      <c r="AA17" s="261"/>
      <c r="AB17" s="261"/>
    </row>
    <row r="18" spans="2:28" ht="36" x14ac:dyDescent="0.35">
      <c r="B18" s="275" t="s">
        <v>43</v>
      </c>
      <c r="C18" s="256"/>
      <c r="D18" s="340">
        <v>15456.447999999999</v>
      </c>
      <c r="E18" s="401">
        <v>1619.8840465116282</v>
      </c>
      <c r="F18" s="340">
        <v>2910.8474499999993</v>
      </c>
      <c r="G18" s="340" t="s">
        <v>37</v>
      </c>
      <c r="H18" s="340">
        <v>1266.7100310344827</v>
      </c>
      <c r="I18" s="340">
        <v>1266.7100310344827</v>
      </c>
      <c r="J18" s="340">
        <v>19987.179496511628</v>
      </c>
      <c r="K18" s="340">
        <v>26383.076935395351</v>
      </c>
      <c r="L18" s="340" t="s">
        <v>38</v>
      </c>
      <c r="M18" s="401">
        <v>189</v>
      </c>
      <c r="N18" s="253"/>
      <c r="O18" s="401" t="s">
        <v>248</v>
      </c>
      <c r="P18" s="401">
        <v>0</v>
      </c>
      <c r="Q18" s="402">
        <v>0.8</v>
      </c>
      <c r="R18" s="403">
        <v>0.8</v>
      </c>
      <c r="S18" s="404">
        <v>0</v>
      </c>
      <c r="T18" s="74" t="s">
        <v>65</v>
      </c>
      <c r="U18" s="345" t="s">
        <v>41</v>
      </c>
      <c r="V18" s="261"/>
      <c r="W18" s="261"/>
      <c r="X18" s="261"/>
      <c r="Y18" s="261"/>
      <c r="Z18" s="261"/>
      <c r="AA18" s="261"/>
      <c r="AB18" s="261"/>
    </row>
    <row r="19" spans="2:28" ht="36" x14ac:dyDescent="0.35">
      <c r="B19" s="275" t="s">
        <v>43</v>
      </c>
      <c r="C19" s="256"/>
      <c r="D19" s="340">
        <v>19320.559999999998</v>
      </c>
      <c r="E19" s="401">
        <v>3987.3947527749742</v>
      </c>
      <c r="F19" s="340">
        <v>2782.2885000000024</v>
      </c>
      <c r="G19" s="340" t="s">
        <v>37</v>
      </c>
      <c r="H19" s="340">
        <v>1524.3343793103447</v>
      </c>
      <c r="I19" s="340">
        <v>1524.3343793103447</v>
      </c>
      <c r="J19" s="340">
        <v>26090.243252774973</v>
      </c>
      <c r="K19" s="340">
        <v>34439.121093662965</v>
      </c>
      <c r="L19" s="340" t="s">
        <v>38</v>
      </c>
      <c r="M19" s="401">
        <v>189</v>
      </c>
      <c r="N19" s="253"/>
      <c r="O19" s="401" t="s">
        <v>249</v>
      </c>
      <c r="P19" s="401">
        <v>0</v>
      </c>
      <c r="Q19" s="402">
        <v>1</v>
      </c>
      <c r="R19" s="403">
        <v>1</v>
      </c>
      <c r="S19" s="404">
        <v>0</v>
      </c>
      <c r="T19" s="74" t="s">
        <v>40</v>
      </c>
      <c r="U19" s="345" t="s">
        <v>41</v>
      </c>
      <c r="V19" s="261"/>
      <c r="W19" s="261"/>
      <c r="X19" s="261"/>
      <c r="Y19" s="261"/>
      <c r="Z19" s="261"/>
      <c r="AA19" s="261"/>
      <c r="AB19" s="261"/>
    </row>
    <row r="20" spans="2:28" ht="36" x14ac:dyDescent="0.35">
      <c r="B20" s="275" t="s">
        <v>43</v>
      </c>
      <c r="C20" s="256"/>
      <c r="D20" s="340">
        <v>19320.559999999998</v>
      </c>
      <c r="E20" s="401">
        <v>3987.3947527749742</v>
      </c>
      <c r="F20" s="340">
        <v>2579.2214999999997</v>
      </c>
      <c r="G20" s="340" t="s">
        <v>37</v>
      </c>
      <c r="H20" s="340">
        <v>1510.3297586206895</v>
      </c>
      <c r="I20" s="340">
        <v>1510.3297586206895</v>
      </c>
      <c r="J20" s="340">
        <v>25887.176252774971</v>
      </c>
      <c r="K20" s="340">
        <v>34171.072653662966</v>
      </c>
      <c r="L20" s="340" t="s">
        <v>38</v>
      </c>
      <c r="M20" s="401">
        <v>189</v>
      </c>
      <c r="N20" s="253"/>
      <c r="O20" s="401" t="s">
        <v>250</v>
      </c>
      <c r="P20" s="401">
        <v>0</v>
      </c>
      <c r="Q20" s="402">
        <v>1</v>
      </c>
      <c r="R20" s="403">
        <v>1</v>
      </c>
      <c r="S20" s="404">
        <v>0</v>
      </c>
      <c r="T20" s="74" t="s">
        <v>40</v>
      </c>
      <c r="U20" s="345" t="s">
        <v>41</v>
      </c>
      <c r="V20" s="261"/>
      <c r="W20" s="261"/>
      <c r="X20" s="261"/>
      <c r="Y20" s="261"/>
      <c r="Z20" s="261"/>
      <c r="AA20" s="261"/>
      <c r="AB20" s="261"/>
    </row>
    <row r="21" spans="2:28" ht="36" x14ac:dyDescent="0.35">
      <c r="B21" s="275" t="s">
        <v>36</v>
      </c>
      <c r="C21" s="256"/>
      <c r="D21" s="340">
        <v>27740.3</v>
      </c>
      <c r="E21" s="401">
        <v>9391.245828503841</v>
      </c>
      <c r="F21" s="340">
        <v>5913.5314499999986</v>
      </c>
      <c r="G21" s="340" t="s">
        <v>37</v>
      </c>
      <c r="H21" s="340">
        <v>2320.9538931034481</v>
      </c>
      <c r="I21" s="340">
        <v>2320.9538931034481</v>
      </c>
      <c r="J21" s="340">
        <v>43045.077278503843</v>
      </c>
      <c r="K21" s="340">
        <v>56819.502007625073</v>
      </c>
      <c r="L21" s="340" t="s">
        <v>38</v>
      </c>
      <c r="M21" s="401">
        <v>189</v>
      </c>
      <c r="N21" s="253"/>
      <c r="O21" s="401" t="s">
        <v>251</v>
      </c>
      <c r="P21" s="401">
        <v>0</v>
      </c>
      <c r="Q21" s="402">
        <v>1</v>
      </c>
      <c r="R21" s="403">
        <v>1</v>
      </c>
      <c r="S21" s="404">
        <v>0</v>
      </c>
      <c r="T21" s="74" t="s">
        <v>50</v>
      </c>
      <c r="U21" s="345" t="s">
        <v>51</v>
      </c>
      <c r="V21" s="261"/>
      <c r="W21" s="261"/>
      <c r="X21" s="261"/>
      <c r="Y21" s="261"/>
      <c r="Z21" s="261"/>
      <c r="AA21" s="261"/>
      <c r="AB21" s="261"/>
    </row>
    <row r="22" spans="2:28" ht="36" x14ac:dyDescent="0.35">
      <c r="B22" s="275" t="s">
        <v>43</v>
      </c>
      <c r="C22" s="256"/>
      <c r="D22" s="340">
        <v>27740.3</v>
      </c>
      <c r="E22" s="401">
        <v>9391.245828503841</v>
      </c>
      <c r="F22" s="340">
        <v>6094.2217500000006</v>
      </c>
      <c r="G22" s="340" t="s">
        <v>37</v>
      </c>
      <c r="H22" s="340">
        <v>2333.4152931034482</v>
      </c>
      <c r="I22" s="340">
        <v>2333.4152931034482</v>
      </c>
      <c r="J22" s="340">
        <v>43225.767578503845</v>
      </c>
      <c r="K22" s="340">
        <v>57058.01320362508</v>
      </c>
      <c r="L22" s="340" t="s">
        <v>38</v>
      </c>
      <c r="M22" s="401">
        <v>189</v>
      </c>
      <c r="N22" s="253"/>
      <c r="O22" s="401" t="s">
        <v>252</v>
      </c>
      <c r="P22" s="401">
        <v>0</v>
      </c>
      <c r="Q22" s="402">
        <v>1</v>
      </c>
      <c r="R22" s="403">
        <v>1</v>
      </c>
      <c r="S22" s="404">
        <v>0</v>
      </c>
      <c r="T22" s="74" t="s">
        <v>50</v>
      </c>
      <c r="U22" s="345" t="s">
        <v>51</v>
      </c>
      <c r="V22" s="261"/>
      <c r="W22" s="261"/>
      <c r="X22" s="261"/>
      <c r="Y22" s="261"/>
      <c r="Z22" s="261"/>
      <c r="AA22" s="261"/>
      <c r="AB22" s="261"/>
    </row>
    <row r="23" spans="2:28" ht="36" x14ac:dyDescent="0.35">
      <c r="B23" s="275" t="s">
        <v>43</v>
      </c>
      <c r="C23" s="256"/>
      <c r="D23" s="340">
        <v>29010.799999999996</v>
      </c>
      <c r="E23" s="401">
        <v>11655.644303267974</v>
      </c>
      <c r="F23" s="340">
        <v>39050.530050000008</v>
      </c>
      <c r="G23" s="340" t="s">
        <v>37</v>
      </c>
      <c r="H23" s="340">
        <v>4693.8848310344829</v>
      </c>
      <c r="I23" s="340">
        <v>4693.8848310344829</v>
      </c>
      <c r="J23" s="340">
        <v>79716.974353267986</v>
      </c>
      <c r="K23" s="340">
        <v>97816.974353267986</v>
      </c>
      <c r="L23" s="340" t="s">
        <v>38</v>
      </c>
      <c r="M23" s="401">
        <v>189</v>
      </c>
      <c r="N23" s="253"/>
      <c r="O23" s="401" t="s">
        <v>253</v>
      </c>
      <c r="P23" s="401">
        <v>0</v>
      </c>
      <c r="Q23" s="402">
        <v>1</v>
      </c>
      <c r="R23" s="403">
        <v>1</v>
      </c>
      <c r="S23" s="404">
        <v>0</v>
      </c>
      <c r="T23" s="74" t="s">
        <v>61</v>
      </c>
      <c r="U23" s="345" t="s">
        <v>89</v>
      </c>
      <c r="V23" s="261"/>
      <c r="W23" s="261"/>
      <c r="X23" s="261"/>
      <c r="Y23" s="261"/>
      <c r="Z23" s="261"/>
      <c r="AA23" s="261"/>
      <c r="AB23" s="261"/>
    </row>
    <row r="24" spans="2:28" ht="36" x14ac:dyDescent="0.35">
      <c r="B24" s="275" t="s">
        <v>43</v>
      </c>
      <c r="C24" s="256"/>
      <c r="D24" s="340">
        <v>29010.799999999996</v>
      </c>
      <c r="E24" s="401">
        <v>9750.1238241235915</v>
      </c>
      <c r="F24" s="340">
        <v>17530.716899999999</v>
      </c>
      <c r="G24" s="340" t="s">
        <v>37</v>
      </c>
      <c r="H24" s="340">
        <v>3209.759786206896</v>
      </c>
      <c r="I24" s="340">
        <v>3209.759786206896</v>
      </c>
      <c r="J24" s="340">
        <v>56291.640724123587</v>
      </c>
      <c r="K24" s="340">
        <v>74304.965755843135</v>
      </c>
      <c r="L24" s="340" t="s">
        <v>38</v>
      </c>
      <c r="M24" s="401">
        <v>100</v>
      </c>
      <c r="N24" s="253"/>
      <c r="O24" s="401" t="s">
        <v>254</v>
      </c>
      <c r="P24" s="401">
        <v>0</v>
      </c>
      <c r="Q24" s="402">
        <v>1</v>
      </c>
      <c r="R24" s="403">
        <v>1</v>
      </c>
      <c r="S24" s="404">
        <v>0</v>
      </c>
      <c r="T24" s="74" t="s">
        <v>46</v>
      </c>
      <c r="U24" s="345" t="s">
        <v>89</v>
      </c>
      <c r="V24" s="261"/>
      <c r="W24" s="261"/>
      <c r="X24" s="261"/>
      <c r="Y24" s="261"/>
      <c r="Z24" s="261"/>
      <c r="AA24" s="261"/>
      <c r="AB24" s="261"/>
    </row>
    <row r="25" spans="2:28" ht="36" x14ac:dyDescent="0.35">
      <c r="B25" s="275" t="s">
        <v>43</v>
      </c>
      <c r="C25" s="256"/>
      <c r="D25" s="340">
        <v>18864.16</v>
      </c>
      <c r="E25" s="401">
        <v>3987.3947527749742</v>
      </c>
      <c r="F25" s="340">
        <v>2160.7566999999981</v>
      </c>
      <c r="G25" s="340" t="s">
        <v>37</v>
      </c>
      <c r="H25" s="340">
        <v>1449.9942551724137</v>
      </c>
      <c r="I25" s="340">
        <v>1449.9942551724137</v>
      </c>
      <c r="J25" s="340">
        <v>25012.311452774971</v>
      </c>
      <c r="K25" s="340">
        <v>33016.251117662963</v>
      </c>
      <c r="L25" s="340" t="s">
        <v>38</v>
      </c>
      <c r="M25" s="401">
        <v>189</v>
      </c>
      <c r="N25" s="253"/>
      <c r="O25" s="401" t="s">
        <v>255</v>
      </c>
      <c r="P25" s="401">
        <v>0</v>
      </c>
      <c r="Q25" s="402">
        <v>1</v>
      </c>
      <c r="R25" s="403">
        <v>1</v>
      </c>
      <c r="S25" s="404">
        <v>0</v>
      </c>
      <c r="T25" s="74" t="s">
        <v>40</v>
      </c>
      <c r="U25" s="345" t="s">
        <v>81</v>
      </c>
      <c r="V25" s="261"/>
      <c r="W25" s="261"/>
      <c r="X25" s="261"/>
      <c r="Y25" s="261"/>
      <c r="Z25" s="261"/>
      <c r="AA25" s="261"/>
      <c r="AB25" s="261"/>
    </row>
    <row r="26" spans="2:28" ht="36" x14ac:dyDescent="0.35">
      <c r="B26" s="275" t="s">
        <v>43</v>
      </c>
      <c r="C26" s="256"/>
      <c r="D26" s="340">
        <v>27085.100000000002</v>
      </c>
      <c r="E26" s="401">
        <v>9391.245828503841</v>
      </c>
      <c r="F26" s="340">
        <v>6255.0022499999941</v>
      </c>
      <c r="G26" s="340" t="s">
        <v>37</v>
      </c>
      <c r="H26" s="340">
        <v>2299.317396551724</v>
      </c>
      <c r="I26" s="340">
        <v>2299.317396551724</v>
      </c>
      <c r="J26" s="340">
        <v>42731.348078503841</v>
      </c>
      <c r="K26" s="340">
        <v>56405.379463625075</v>
      </c>
      <c r="L26" s="340" t="s">
        <v>38</v>
      </c>
      <c r="M26" s="401">
        <v>100</v>
      </c>
      <c r="N26" s="253"/>
      <c r="O26" s="401" t="s">
        <v>134</v>
      </c>
      <c r="P26" s="401">
        <v>0</v>
      </c>
      <c r="Q26" s="402">
        <v>1</v>
      </c>
      <c r="R26" s="403">
        <v>1</v>
      </c>
      <c r="S26" s="404">
        <v>0</v>
      </c>
      <c r="T26" s="74" t="s">
        <v>50</v>
      </c>
      <c r="U26" s="345" t="s">
        <v>78</v>
      </c>
      <c r="V26" s="261"/>
      <c r="W26" s="261"/>
      <c r="X26" s="261"/>
      <c r="Y26" s="261"/>
      <c r="Z26" s="261"/>
      <c r="AA26" s="261"/>
      <c r="AB26" s="261"/>
    </row>
    <row r="27" spans="2:28" ht="36" x14ac:dyDescent="0.35">
      <c r="B27" s="275" t="s">
        <v>43</v>
      </c>
      <c r="C27" s="256"/>
      <c r="D27" s="340">
        <v>27085.100000000002</v>
      </c>
      <c r="E27" s="401">
        <v>9391.245828503841</v>
      </c>
      <c r="F27" s="340">
        <v>6697.3405499999972</v>
      </c>
      <c r="G27" s="340" t="s">
        <v>37</v>
      </c>
      <c r="H27" s="340">
        <v>2329.8234862068966</v>
      </c>
      <c r="I27" s="340">
        <v>2329.8234862068966</v>
      </c>
      <c r="J27" s="340">
        <v>43173.686378503844</v>
      </c>
      <c r="K27" s="340">
        <v>56989.26601962508</v>
      </c>
      <c r="L27" s="340" t="s">
        <v>38</v>
      </c>
      <c r="M27" s="401">
        <v>100</v>
      </c>
      <c r="N27" s="253"/>
      <c r="O27" s="401" t="s">
        <v>256</v>
      </c>
      <c r="P27" s="401">
        <v>0</v>
      </c>
      <c r="Q27" s="402">
        <v>1</v>
      </c>
      <c r="R27" s="403">
        <v>1</v>
      </c>
      <c r="S27" s="404">
        <v>0</v>
      </c>
      <c r="T27" s="74" t="s">
        <v>50</v>
      </c>
      <c r="U27" s="345" t="s">
        <v>78</v>
      </c>
      <c r="V27" s="261"/>
      <c r="W27" s="261"/>
      <c r="X27" s="261"/>
      <c r="Y27" s="261"/>
      <c r="Z27" s="261"/>
      <c r="AA27" s="261"/>
      <c r="AB27" s="261"/>
    </row>
    <row r="28" spans="2:28" ht="36" x14ac:dyDescent="0.35">
      <c r="B28" s="275" t="s">
        <v>43</v>
      </c>
      <c r="C28" s="256"/>
      <c r="D28" s="340">
        <v>27085.100000000002</v>
      </c>
      <c r="E28" s="401">
        <v>9391.245828503841</v>
      </c>
      <c r="F28" s="340">
        <v>6810.704099999999</v>
      </c>
      <c r="G28" s="340" t="s">
        <v>37</v>
      </c>
      <c r="H28" s="340">
        <v>2337.6416620689656</v>
      </c>
      <c r="I28" s="340">
        <v>2337.6416620689656</v>
      </c>
      <c r="J28" s="340">
        <v>43287.049928503839</v>
      </c>
      <c r="K28" s="340">
        <v>57138.90590562507</v>
      </c>
      <c r="L28" s="340" t="s">
        <v>38</v>
      </c>
      <c r="M28" s="401">
        <v>100</v>
      </c>
      <c r="N28" s="253"/>
      <c r="O28" s="401" t="s">
        <v>257</v>
      </c>
      <c r="P28" s="401">
        <v>0</v>
      </c>
      <c r="Q28" s="402">
        <v>1</v>
      </c>
      <c r="R28" s="403">
        <v>1</v>
      </c>
      <c r="S28" s="404">
        <v>0</v>
      </c>
      <c r="T28" s="74" t="s">
        <v>50</v>
      </c>
      <c r="U28" s="345" t="s">
        <v>78</v>
      </c>
      <c r="V28" s="261"/>
      <c r="W28" s="261"/>
      <c r="X28" s="261"/>
      <c r="Y28" s="261"/>
      <c r="Z28" s="261"/>
      <c r="AA28" s="261"/>
      <c r="AB28" s="261"/>
    </row>
    <row r="29" spans="2:28" ht="36" x14ac:dyDescent="0.35">
      <c r="B29" s="275" t="s">
        <v>43</v>
      </c>
      <c r="C29" s="256"/>
      <c r="D29" s="340">
        <v>29010.799999999996</v>
      </c>
      <c r="E29" s="401">
        <v>9750.1238241235915</v>
      </c>
      <c r="F29" s="340">
        <v>18723.378450000004</v>
      </c>
      <c r="G29" s="340" t="s">
        <v>37</v>
      </c>
      <c r="H29" s="340">
        <v>3292.0123068965518</v>
      </c>
      <c r="I29" s="340">
        <v>3292.0123068965518</v>
      </c>
      <c r="J29" s="340">
        <v>57484.302274123591</v>
      </c>
      <c r="K29" s="340">
        <v>75584.302274123591</v>
      </c>
      <c r="L29" s="340" t="s">
        <v>38</v>
      </c>
      <c r="M29" s="401">
        <v>100</v>
      </c>
      <c r="N29" s="253"/>
      <c r="O29" s="401" t="s">
        <v>258</v>
      </c>
      <c r="P29" s="401">
        <v>0</v>
      </c>
      <c r="Q29" s="402">
        <v>1</v>
      </c>
      <c r="R29" s="403">
        <v>1</v>
      </c>
      <c r="S29" s="404">
        <v>0</v>
      </c>
      <c r="T29" s="74" t="s">
        <v>46</v>
      </c>
      <c r="U29" s="345" t="s">
        <v>89</v>
      </c>
      <c r="V29" s="261"/>
      <c r="W29" s="261"/>
      <c r="X29" s="261"/>
      <c r="Y29" s="261"/>
      <c r="Z29" s="261"/>
      <c r="AA29" s="261"/>
      <c r="AB29" s="261"/>
    </row>
    <row r="30" spans="2:28" ht="36" x14ac:dyDescent="0.35">
      <c r="B30" s="275" t="s">
        <v>43</v>
      </c>
      <c r="C30" s="256"/>
      <c r="D30" s="340">
        <v>27085.100000000002</v>
      </c>
      <c r="E30" s="401">
        <v>9391.245828503841</v>
      </c>
      <c r="F30" s="340">
        <v>6758.705699999995</v>
      </c>
      <c r="G30" s="340" t="s">
        <v>37</v>
      </c>
      <c r="H30" s="340">
        <v>2334.0555655172411</v>
      </c>
      <c r="I30" s="340">
        <v>2334.0555655172411</v>
      </c>
      <c r="J30" s="340">
        <v>43235.051528503842</v>
      </c>
      <c r="K30" s="340">
        <v>57070.268017625072</v>
      </c>
      <c r="L30" s="340" t="s">
        <v>38</v>
      </c>
      <c r="M30" s="401">
        <v>100</v>
      </c>
      <c r="N30" s="253"/>
      <c r="O30" s="401" t="s">
        <v>259</v>
      </c>
      <c r="P30" s="401">
        <v>0</v>
      </c>
      <c r="Q30" s="402">
        <v>1</v>
      </c>
      <c r="R30" s="403">
        <v>1</v>
      </c>
      <c r="S30" s="404">
        <v>0</v>
      </c>
      <c r="T30" s="74" t="s">
        <v>50</v>
      </c>
      <c r="U30" s="345" t="s">
        <v>78</v>
      </c>
      <c r="V30" s="261"/>
      <c r="W30" s="261"/>
      <c r="X30" s="261"/>
      <c r="Y30" s="261"/>
      <c r="Z30" s="261"/>
      <c r="AA30" s="261"/>
      <c r="AB30" s="261"/>
    </row>
    <row r="31" spans="2:28" ht="36" x14ac:dyDescent="0.35">
      <c r="B31" s="80" t="s">
        <v>36</v>
      </c>
      <c r="C31" s="256"/>
      <c r="D31" s="340">
        <v>18864.16</v>
      </c>
      <c r="E31" s="401">
        <v>3987.3947527749742</v>
      </c>
      <c r="F31" s="340">
        <v>1653.1927000000032</v>
      </c>
      <c r="G31" s="340" t="s">
        <v>37</v>
      </c>
      <c r="H31" s="340">
        <v>1414.9898413793105</v>
      </c>
      <c r="I31" s="340">
        <v>1414.9898413793105</v>
      </c>
      <c r="J31" s="340">
        <v>24504.747452774976</v>
      </c>
      <c r="K31" s="340">
        <v>32346.266637662971</v>
      </c>
      <c r="L31" s="340" t="s">
        <v>38</v>
      </c>
      <c r="M31" s="401">
        <v>410</v>
      </c>
      <c r="N31" s="253"/>
      <c r="O31" s="401" t="s">
        <v>260</v>
      </c>
      <c r="P31" s="401">
        <v>0</v>
      </c>
      <c r="Q31" s="402">
        <v>1</v>
      </c>
      <c r="R31" s="403">
        <v>1</v>
      </c>
      <c r="S31" s="404">
        <v>0</v>
      </c>
      <c r="T31" s="74" t="s">
        <v>40</v>
      </c>
      <c r="U31" s="345" t="s">
        <v>81</v>
      </c>
      <c r="V31" s="261"/>
      <c r="W31" s="261"/>
      <c r="X31" s="261"/>
      <c r="Y31" s="261"/>
      <c r="Z31" s="261"/>
      <c r="AA31" s="261"/>
      <c r="AB31" s="261"/>
    </row>
    <row r="32" spans="2:28" ht="36" x14ac:dyDescent="0.35">
      <c r="B32" s="80" t="s">
        <v>43</v>
      </c>
      <c r="C32" s="256"/>
      <c r="D32" s="340">
        <v>27085.100000000002</v>
      </c>
      <c r="E32" s="401">
        <v>9391.245828503841</v>
      </c>
      <c r="F32" s="340">
        <v>4584.2328000000016</v>
      </c>
      <c r="G32" s="340" t="s">
        <v>37</v>
      </c>
      <c r="H32" s="340">
        <v>2184.0919172413796</v>
      </c>
      <c r="I32" s="340">
        <v>2184.0919172413796</v>
      </c>
      <c r="J32" s="340">
        <v>41060.578628503848</v>
      </c>
      <c r="K32" s="340">
        <v>54199.963789625086</v>
      </c>
      <c r="L32" s="340" t="s">
        <v>38</v>
      </c>
      <c r="M32" s="401">
        <v>100</v>
      </c>
      <c r="N32" s="253"/>
      <c r="O32" s="401" t="s">
        <v>261</v>
      </c>
      <c r="P32" s="401">
        <v>0</v>
      </c>
      <c r="Q32" s="402">
        <v>1</v>
      </c>
      <c r="R32" s="403">
        <v>1</v>
      </c>
      <c r="S32" s="404">
        <v>0</v>
      </c>
      <c r="T32" s="74" t="s">
        <v>50</v>
      </c>
      <c r="U32" s="345" t="s">
        <v>78</v>
      </c>
      <c r="V32" s="261"/>
      <c r="W32" s="261"/>
      <c r="X32" s="261"/>
      <c r="Y32" s="261"/>
      <c r="Z32" s="261"/>
      <c r="AA32" s="261"/>
      <c r="AB32" s="261"/>
    </row>
    <row r="33" spans="1:28" ht="36" x14ac:dyDescent="0.35">
      <c r="B33" s="80" t="s">
        <v>43</v>
      </c>
      <c r="C33" s="256"/>
      <c r="D33" s="340">
        <v>18864.16</v>
      </c>
      <c r="E33" s="401">
        <v>3987.3947527749742</v>
      </c>
      <c r="F33" s="340">
        <v>1609.6191999999974</v>
      </c>
      <c r="G33" s="340" t="s">
        <v>37</v>
      </c>
      <c r="H33" s="340">
        <v>1411.9847724137928</v>
      </c>
      <c r="I33" s="340">
        <v>1411.9847724137928</v>
      </c>
      <c r="J33" s="340">
        <v>24461.173952774971</v>
      </c>
      <c r="K33" s="340">
        <v>32288.749617662961</v>
      </c>
      <c r="L33" s="340" t="s">
        <v>38</v>
      </c>
      <c r="M33" s="401">
        <v>402</v>
      </c>
      <c r="N33" s="253"/>
      <c r="O33" s="401" t="s">
        <v>262</v>
      </c>
      <c r="P33" s="401" t="s">
        <v>263</v>
      </c>
      <c r="Q33" s="402">
        <v>1</v>
      </c>
      <c r="R33" s="403">
        <v>1</v>
      </c>
      <c r="S33" s="404" t="s">
        <v>263</v>
      </c>
      <c r="T33" s="74" t="s">
        <v>40</v>
      </c>
      <c r="U33" s="345" t="s">
        <v>81</v>
      </c>
      <c r="V33" s="261"/>
      <c r="W33" s="261"/>
      <c r="X33" s="261"/>
      <c r="Y33" s="261"/>
      <c r="Z33" s="261"/>
      <c r="AA33" s="261"/>
      <c r="AB33" s="261"/>
    </row>
    <row r="34" spans="1:28" ht="36" x14ac:dyDescent="0.35">
      <c r="B34" s="275" t="s">
        <v>43</v>
      </c>
      <c r="C34" s="256"/>
      <c r="D34" s="340">
        <v>27085.100000000002</v>
      </c>
      <c r="E34" s="401">
        <v>9391.245828503841</v>
      </c>
      <c r="F34" s="340">
        <v>6654.1913999999997</v>
      </c>
      <c r="G34" s="340" t="s">
        <v>37</v>
      </c>
      <c r="H34" s="340">
        <v>2326.847682758621</v>
      </c>
      <c r="I34" s="340">
        <v>2326.847682758621</v>
      </c>
      <c r="J34" s="340">
        <v>43130.537228503847</v>
      </c>
      <c r="K34" s="340">
        <v>56932.309141625083</v>
      </c>
      <c r="L34" s="340" t="s">
        <v>38</v>
      </c>
      <c r="M34" s="401">
        <v>100</v>
      </c>
      <c r="N34" s="253"/>
      <c r="O34" s="401" t="s">
        <v>264</v>
      </c>
      <c r="P34" s="401">
        <v>0</v>
      </c>
      <c r="Q34" s="402">
        <v>1</v>
      </c>
      <c r="R34" s="403">
        <v>1</v>
      </c>
      <c r="S34" s="404">
        <v>0</v>
      </c>
      <c r="T34" s="74" t="s">
        <v>50</v>
      </c>
      <c r="U34" s="345" t="s">
        <v>78</v>
      </c>
      <c r="V34" s="261"/>
      <c r="W34" s="261"/>
      <c r="X34" s="261"/>
      <c r="Y34" s="261"/>
      <c r="Z34" s="261"/>
      <c r="AA34" s="261"/>
      <c r="AB34" s="261"/>
    </row>
    <row r="35" spans="1:28" ht="36" x14ac:dyDescent="0.35">
      <c r="A35" s="58"/>
      <c r="B35" s="80" t="s">
        <v>43</v>
      </c>
      <c r="C35" s="256"/>
      <c r="D35" s="340">
        <v>32586.400000000001</v>
      </c>
      <c r="E35" s="341">
        <v>9391.245828503841</v>
      </c>
      <c r="F35" s="340">
        <v>22081.78</v>
      </c>
      <c r="G35" s="340" t="s">
        <v>37</v>
      </c>
      <c r="H35" s="340">
        <v>3904.87</v>
      </c>
      <c r="I35" s="340">
        <v>3904.87</v>
      </c>
      <c r="J35" s="340">
        <v>64059.425828503838</v>
      </c>
      <c r="K35" s="340">
        <v>84558.442093625068</v>
      </c>
      <c r="L35" s="340" t="s">
        <v>38</v>
      </c>
      <c r="M35" s="341">
        <v>100</v>
      </c>
      <c r="N35" s="80"/>
      <c r="O35" s="341" t="s">
        <v>345</v>
      </c>
      <c r="P35" s="164"/>
      <c r="Q35" s="342">
        <v>1</v>
      </c>
      <c r="R35" s="343">
        <v>1</v>
      </c>
      <c r="S35" s="164"/>
      <c r="T35" s="258" t="s">
        <v>74</v>
      </c>
      <c r="U35" s="345" t="s">
        <v>47</v>
      </c>
      <c r="V35" s="261"/>
      <c r="W35" s="261"/>
      <c r="X35" s="261"/>
      <c r="Y35" s="261"/>
      <c r="Z35" s="261"/>
      <c r="AA35" s="261"/>
      <c r="AB35" s="261"/>
    </row>
    <row r="36" spans="1:28" s="20" customFormat="1" ht="12" x14ac:dyDescent="0.3">
      <c r="W36" s="34"/>
    </row>
    <row r="37" spans="1:28" s="20" customFormat="1" ht="19" thickBot="1" x14ac:dyDescent="0.5">
      <c r="B37" s="18" t="s">
        <v>17</v>
      </c>
      <c r="C37" s="1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</row>
    <row r="38" spans="1:28" s="20" customFormat="1" ht="32" thickBot="1" x14ac:dyDescent="0.35">
      <c r="B38" s="2" t="s">
        <v>344</v>
      </c>
      <c r="C38" s="2" t="s">
        <v>2</v>
      </c>
      <c r="D38" s="2" t="s">
        <v>21</v>
      </c>
      <c r="E38" s="2" t="s">
        <v>1</v>
      </c>
      <c r="F38" s="2" t="s">
        <v>22</v>
      </c>
      <c r="G38" s="2" t="s">
        <v>14</v>
      </c>
      <c r="H38" s="2" t="s">
        <v>18</v>
      </c>
      <c r="I38" s="2" t="s">
        <v>15</v>
      </c>
      <c r="J38" s="2" t="s">
        <v>10</v>
      </c>
      <c r="K38" s="2" t="s">
        <v>23</v>
      </c>
      <c r="L38" s="2" t="s">
        <v>16</v>
      </c>
      <c r="M38" s="2" t="s">
        <v>3</v>
      </c>
      <c r="N38" s="2" t="s">
        <v>11</v>
      </c>
      <c r="O38" s="2" t="s">
        <v>4</v>
      </c>
      <c r="P38" s="2" t="s">
        <v>5</v>
      </c>
      <c r="Q38" s="2" t="s">
        <v>24</v>
      </c>
      <c r="R38" s="2" t="s">
        <v>25</v>
      </c>
      <c r="S38" s="2" t="s">
        <v>26</v>
      </c>
      <c r="T38" s="2" t="s">
        <v>27</v>
      </c>
      <c r="U38" s="2" t="s">
        <v>6</v>
      </c>
      <c r="V38" s="2" t="s">
        <v>7</v>
      </c>
      <c r="W38" s="2" t="s">
        <v>28</v>
      </c>
      <c r="X38" s="2" t="s">
        <v>29</v>
      </c>
      <c r="Y38" s="2" t="s">
        <v>30</v>
      </c>
      <c r="Z38" s="2" t="s">
        <v>31</v>
      </c>
      <c r="AA38" s="3" t="s">
        <v>8</v>
      </c>
      <c r="AB38" s="3" t="s">
        <v>9</v>
      </c>
    </row>
    <row r="39" spans="1:28" s="20" customFormat="1" x14ac:dyDescent="0.3">
      <c r="B39" s="4"/>
      <c r="C39" s="35"/>
      <c r="D39" s="5"/>
      <c r="E39" s="5"/>
      <c r="F39" s="5"/>
      <c r="G39" s="5"/>
      <c r="H39" s="5"/>
      <c r="I39" s="5"/>
      <c r="J39" s="5"/>
      <c r="K39" s="5"/>
      <c r="L39" s="4"/>
      <c r="M39" s="4"/>
      <c r="N39" s="4"/>
      <c r="O39" s="6"/>
      <c r="P39" s="7"/>
      <c r="Q39" s="8"/>
      <c r="R39" s="8"/>
      <c r="S39" s="8"/>
      <c r="T39" s="9"/>
      <c r="U39" s="9"/>
      <c r="V39" s="10"/>
      <c r="W39" s="36"/>
      <c r="X39" s="36" t="s">
        <v>0</v>
      </c>
      <c r="Y39" s="36"/>
      <c r="Z39" s="36"/>
      <c r="AA39" s="36"/>
      <c r="AB39" s="36"/>
    </row>
    <row r="40" spans="1:28" s="20" customFormat="1" x14ac:dyDescent="0.3">
      <c r="B40" s="4"/>
      <c r="C40" s="31"/>
      <c r="D40" s="5"/>
      <c r="E40" s="5"/>
      <c r="F40" s="5"/>
      <c r="G40" s="5"/>
      <c r="H40" s="5"/>
      <c r="I40" s="5"/>
      <c r="J40" s="5"/>
      <c r="K40" s="5"/>
      <c r="L40" s="4"/>
      <c r="M40" s="4"/>
      <c r="N40" s="4"/>
      <c r="O40" s="6"/>
      <c r="P40" s="7"/>
      <c r="Q40" s="8"/>
      <c r="R40" s="8"/>
      <c r="S40" s="8"/>
      <c r="T40" s="9"/>
      <c r="U40" s="9"/>
      <c r="V40" s="10"/>
      <c r="W40" s="36"/>
      <c r="X40" s="36"/>
      <c r="Y40" s="36"/>
      <c r="Z40" s="36"/>
      <c r="AA40" s="36"/>
      <c r="AB40" s="36"/>
    </row>
    <row r="41" spans="1:28" s="20" customFormat="1" x14ac:dyDescent="0.3">
      <c r="B41" s="4"/>
      <c r="C41" s="31"/>
      <c r="D41" s="5"/>
      <c r="E41" s="5"/>
      <c r="F41" s="5"/>
      <c r="G41" s="5"/>
      <c r="H41" s="5"/>
      <c r="I41" s="5"/>
      <c r="J41" s="5"/>
      <c r="K41" s="5"/>
      <c r="L41" s="4"/>
      <c r="M41" s="4"/>
      <c r="N41" s="4"/>
      <c r="O41" s="6"/>
      <c r="P41" s="7"/>
      <c r="Q41" s="8"/>
      <c r="R41" s="8"/>
      <c r="S41" s="8"/>
      <c r="T41" s="9"/>
      <c r="U41" s="9"/>
      <c r="V41" s="10"/>
      <c r="W41" s="36"/>
      <c r="X41" s="36"/>
      <c r="Y41" s="36"/>
      <c r="Z41" s="36"/>
      <c r="AA41" s="36"/>
      <c r="AB41" s="36"/>
    </row>
    <row r="42" spans="1:28" s="20" customFormat="1" x14ac:dyDescent="0.3">
      <c r="B42" s="11"/>
      <c r="C42" s="31"/>
      <c r="D42" s="12"/>
      <c r="E42" s="12"/>
      <c r="F42" s="12"/>
      <c r="G42" s="12"/>
      <c r="H42" s="12"/>
      <c r="I42" s="12"/>
      <c r="J42" s="12"/>
      <c r="K42" s="12"/>
      <c r="L42" s="11"/>
      <c r="M42" s="11"/>
      <c r="N42" s="11"/>
      <c r="O42" s="37"/>
      <c r="P42" s="13"/>
      <c r="Q42" s="14"/>
      <c r="R42" s="14"/>
      <c r="S42" s="14"/>
      <c r="T42" s="38"/>
      <c r="U42" s="38"/>
      <c r="V42" s="15"/>
      <c r="W42" s="39"/>
      <c r="X42" s="39"/>
      <c r="Y42" s="39"/>
      <c r="Z42" s="39"/>
      <c r="AA42" s="39"/>
      <c r="AB42" s="39"/>
    </row>
    <row r="43" spans="1:28" s="20" customFormat="1" x14ac:dyDescent="0.3">
      <c r="B43" s="11"/>
      <c r="C43" s="31"/>
      <c r="D43" s="12"/>
      <c r="E43" s="12"/>
      <c r="F43" s="12"/>
      <c r="G43" s="12"/>
      <c r="H43" s="12"/>
      <c r="I43" s="12"/>
      <c r="J43" s="12"/>
      <c r="K43" s="12"/>
      <c r="L43" s="11"/>
      <c r="M43" s="11"/>
      <c r="N43" s="11"/>
      <c r="O43" s="37"/>
      <c r="P43" s="13"/>
      <c r="Q43" s="14"/>
      <c r="R43" s="14"/>
      <c r="S43" s="14"/>
      <c r="T43" s="38"/>
      <c r="U43" s="38"/>
      <c r="V43" s="16"/>
      <c r="W43" s="39"/>
      <c r="X43" s="39"/>
      <c r="Y43" s="39"/>
      <c r="Z43" s="39"/>
      <c r="AA43" s="39"/>
      <c r="AB43" s="39"/>
    </row>
    <row r="44" spans="1:28" s="20" customFormat="1" x14ac:dyDescent="0.3">
      <c r="B44" s="11"/>
      <c r="C44" s="31"/>
      <c r="D44" s="12"/>
      <c r="E44" s="12"/>
      <c r="F44" s="12"/>
      <c r="G44" s="12"/>
      <c r="H44" s="12"/>
      <c r="I44" s="12"/>
      <c r="J44" s="12"/>
      <c r="K44" s="12"/>
      <c r="L44" s="11"/>
      <c r="M44" s="11"/>
      <c r="N44" s="11"/>
      <c r="O44" s="37"/>
      <c r="P44" s="13"/>
      <c r="Q44" s="14"/>
      <c r="R44" s="14"/>
      <c r="S44" s="14"/>
      <c r="T44" s="38"/>
      <c r="U44" s="38"/>
      <c r="V44" s="16"/>
      <c r="W44" s="39"/>
      <c r="X44" s="39"/>
      <c r="Y44" s="39"/>
      <c r="Z44" s="39"/>
      <c r="AA44" s="39"/>
      <c r="AB44" s="39"/>
    </row>
    <row r="45" spans="1:28" s="20" customFormat="1" ht="12" x14ac:dyDescent="0.3">
      <c r="W45" s="34"/>
    </row>
    <row r="46" spans="1:28" s="20" customFormat="1" ht="12" x14ac:dyDescent="0.3">
      <c r="W46" s="34"/>
    </row>
    <row r="47" spans="1:28" s="20" customFormat="1" ht="12" x14ac:dyDescent="0.3">
      <c r="W47" s="34"/>
    </row>
    <row r="48" spans="1:28" s="20" customFormat="1" ht="12" x14ac:dyDescent="0.3">
      <c r="W48" s="34"/>
    </row>
    <row r="49" spans="23:37" s="20" customFormat="1" ht="12" x14ac:dyDescent="0.3">
      <c r="W49" s="34"/>
    </row>
    <row r="50" spans="23:37" s="20" customFormat="1" ht="12" x14ac:dyDescent="0.3">
      <c r="W50" s="34"/>
    </row>
    <row r="51" spans="23:37" s="20" customFormat="1" ht="12" x14ac:dyDescent="0.3">
      <c r="W51" s="34"/>
    </row>
    <row r="52" spans="23:37" s="20" customFormat="1" ht="12" x14ac:dyDescent="0.3">
      <c r="W52" s="34"/>
    </row>
    <row r="53" spans="23:37" s="20" customFormat="1" ht="12" x14ac:dyDescent="0.3">
      <c r="W53" s="34"/>
    </row>
    <row r="54" spans="23:37" s="20" customFormat="1" ht="12" x14ac:dyDescent="0.3">
      <c r="W54" s="34"/>
    </row>
    <row r="55" spans="23:37" s="20" customFormat="1" x14ac:dyDescent="0.35">
      <c r="W55" s="34"/>
      <c r="AG55"/>
      <c r="AH55"/>
      <c r="AI55"/>
      <c r="AJ55"/>
      <c r="AK55"/>
    </row>
    <row r="56" spans="23:37" s="20" customFormat="1" x14ac:dyDescent="0.35">
      <c r="W56" s="34"/>
      <c r="AG56"/>
      <c r="AH56"/>
      <c r="AI56"/>
      <c r="AJ56"/>
      <c r="AK56"/>
    </row>
    <row r="57" spans="23:37" s="20" customFormat="1" x14ac:dyDescent="0.35">
      <c r="W57" s="34"/>
      <c r="AG57"/>
      <c r="AH57"/>
      <c r="AI57"/>
      <c r="AJ57"/>
      <c r="AK57"/>
    </row>
    <row r="58" spans="23:37" s="20" customFormat="1" x14ac:dyDescent="0.35">
      <c r="W58" s="34"/>
      <c r="AG58"/>
      <c r="AH58"/>
      <c r="AI58"/>
      <c r="AJ58"/>
      <c r="AK58"/>
    </row>
  </sheetData>
  <autoFilter ref="B9:AD35"/>
  <mergeCells count="3">
    <mergeCell ref="C4:E4"/>
    <mergeCell ref="C5:D5"/>
    <mergeCell ref="C6:D6"/>
  </mergeCells>
  <pageMargins left="0.7" right="0.7" top="0.75" bottom="0.75" header="0.3" footer="0.3"/>
  <pageSetup paperSize="9" scale="2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60"/>
  <sheetViews>
    <sheetView zoomScaleNormal="100" workbookViewId="0">
      <selection activeCell="B2" sqref="B2:AB47"/>
    </sheetView>
  </sheetViews>
  <sheetFormatPr defaultColWidth="11.453125" defaultRowHeight="14.5" x14ac:dyDescent="0.35"/>
  <cols>
    <col min="1" max="1" width="6.81640625" customWidth="1"/>
    <col min="2" max="2" width="20.81640625" style="20" customWidth="1"/>
    <col min="3" max="3" width="13.54296875" customWidth="1"/>
    <col min="4" max="4" width="13.54296875" style="20" customWidth="1"/>
    <col min="5" max="15" width="25.54296875" customWidth="1"/>
    <col min="16" max="16" width="18.81640625" customWidth="1"/>
    <col min="17" max="17" width="19.54296875" customWidth="1"/>
    <col min="18" max="18" width="15.453125" customWidth="1"/>
    <col min="19" max="22" width="25.54296875" customWidth="1"/>
    <col min="23" max="23" width="22.1796875" style="21" customWidth="1"/>
    <col min="24" max="24" width="29.453125" customWidth="1"/>
    <col min="25" max="30" width="25.54296875" customWidth="1"/>
  </cols>
  <sheetData>
    <row r="2" spans="2:28" ht="18.5" x14ac:dyDescent="0.45">
      <c r="B2" s="18" t="s">
        <v>13</v>
      </c>
      <c r="C2" s="1"/>
    </row>
    <row r="3" spans="2:28" x14ac:dyDescent="0.35">
      <c r="B3" s="22"/>
      <c r="C3" s="23"/>
      <c r="F3" s="23"/>
      <c r="Q3" s="23"/>
      <c r="R3" s="23"/>
      <c r="S3" s="23"/>
    </row>
    <row r="4" spans="2:28" ht="15.5" x14ac:dyDescent="0.35">
      <c r="B4" s="24" t="s">
        <v>12</v>
      </c>
      <c r="C4" s="423" t="s">
        <v>33</v>
      </c>
      <c r="D4" s="424"/>
      <c r="E4" s="428"/>
      <c r="Q4" s="23"/>
      <c r="R4" s="23"/>
      <c r="S4" s="23"/>
    </row>
    <row r="5" spans="2:28" ht="15.5" x14ac:dyDescent="0.35">
      <c r="B5" s="24" t="s">
        <v>343</v>
      </c>
      <c r="C5" s="423" t="s">
        <v>265</v>
      </c>
      <c r="D5" s="424" t="s">
        <v>34</v>
      </c>
      <c r="E5" s="49"/>
      <c r="Q5" s="23"/>
      <c r="R5" s="23"/>
      <c r="S5" s="23"/>
    </row>
    <row r="6" spans="2:28" ht="15.5" x14ac:dyDescent="0.35">
      <c r="B6" s="25" t="s">
        <v>19</v>
      </c>
      <c r="C6" s="423" t="s">
        <v>266</v>
      </c>
      <c r="D6" s="424"/>
      <c r="E6" s="49"/>
      <c r="Q6" s="23"/>
      <c r="R6" s="23"/>
      <c r="S6" s="23"/>
    </row>
    <row r="7" spans="2:28" ht="15.5" x14ac:dyDescent="0.35">
      <c r="B7" s="24" t="s">
        <v>32</v>
      </c>
      <c r="C7" s="47">
        <v>45629</v>
      </c>
      <c r="D7" s="48"/>
      <c r="E7" s="50"/>
    </row>
    <row r="8" spans="2:28" ht="15" thickBot="1" x14ac:dyDescent="0.4">
      <c r="B8" s="29"/>
      <c r="G8" s="27"/>
      <c r="N8" s="26"/>
      <c r="O8" s="30"/>
      <c r="P8" s="26"/>
      <c r="Q8" s="28"/>
    </row>
    <row r="9" spans="2:28" ht="33.75" customHeight="1" thickBot="1" x14ac:dyDescent="0.4">
      <c r="B9" s="2" t="s">
        <v>344</v>
      </c>
      <c r="C9" s="2" t="s">
        <v>2</v>
      </c>
      <c r="D9" s="2" t="s">
        <v>21</v>
      </c>
      <c r="E9" s="2" t="s">
        <v>1</v>
      </c>
      <c r="F9" s="2" t="s">
        <v>22</v>
      </c>
      <c r="G9" s="2" t="s">
        <v>14</v>
      </c>
      <c r="H9" s="2" t="s">
        <v>18</v>
      </c>
      <c r="I9" s="2" t="s">
        <v>15</v>
      </c>
      <c r="J9" s="2" t="s">
        <v>10</v>
      </c>
      <c r="K9" s="2" t="s">
        <v>23</v>
      </c>
      <c r="L9" s="2" t="s">
        <v>16</v>
      </c>
      <c r="M9" s="2" t="s">
        <v>3</v>
      </c>
      <c r="N9" s="2" t="s">
        <v>11</v>
      </c>
      <c r="O9" s="2" t="s">
        <v>4</v>
      </c>
      <c r="P9" s="2" t="s">
        <v>5</v>
      </c>
      <c r="Q9" s="2" t="s">
        <v>24</v>
      </c>
      <c r="R9" s="2" t="s">
        <v>25</v>
      </c>
      <c r="S9" s="2" t="s">
        <v>26</v>
      </c>
      <c r="T9" s="2" t="s">
        <v>27</v>
      </c>
      <c r="U9" s="19" t="s">
        <v>6</v>
      </c>
      <c r="V9" s="19" t="s">
        <v>7</v>
      </c>
      <c r="W9" s="19" t="s">
        <v>28</v>
      </c>
      <c r="X9" s="19" t="s">
        <v>29</v>
      </c>
      <c r="Y9" s="19" t="s">
        <v>30</v>
      </c>
      <c r="Z9" s="19" t="s">
        <v>31</v>
      </c>
      <c r="AA9" s="57" t="s">
        <v>8</v>
      </c>
      <c r="AB9" s="57" t="s">
        <v>9</v>
      </c>
    </row>
    <row r="10" spans="2:28" ht="36" x14ac:dyDescent="0.35">
      <c r="B10" s="80" t="s">
        <v>36</v>
      </c>
      <c r="C10" s="256"/>
      <c r="D10" s="340">
        <v>29672.1</v>
      </c>
      <c r="E10" s="341">
        <v>9391.245828503841</v>
      </c>
      <c r="F10" s="340">
        <v>8954.3579000000027</v>
      </c>
      <c r="G10" s="340" t="s">
        <v>37</v>
      </c>
      <c r="H10" s="340">
        <v>2663.8936482758622</v>
      </c>
      <c r="I10" s="340">
        <v>2663.8936482758622</v>
      </c>
      <c r="J10" s="340">
        <v>48017.703728503839</v>
      </c>
      <c r="K10" s="340">
        <v>63383.368921625071</v>
      </c>
      <c r="L10" s="340" t="s">
        <v>38</v>
      </c>
      <c r="M10" s="341">
        <v>100</v>
      </c>
      <c r="N10" s="261"/>
      <c r="O10" s="341" t="s">
        <v>267</v>
      </c>
      <c r="P10" s="341">
        <v>0</v>
      </c>
      <c r="Q10" s="342">
        <v>1</v>
      </c>
      <c r="R10" s="343">
        <v>1</v>
      </c>
      <c r="S10" s="344">
        <v>0</v>
      </c>
      <c r="T10" s="258" t="s">
        <v>50</v>
      </c>
      <c r="U10" s="345" t="s">
        <v>51</v>
      </c>
      <c r="V10" s="261"/>
      <c r="W10" s="261"/>
      <c r="X10" s="261"/>
      <c r="Y10" s="261"/>
      <c r="Z10" s="261"/>
      <c r="AA10" s="261"/>
      <c r="AB10" s="261"/>
    </row>
    <row r="11" spans="2:28" ht="36" x14ac:dyDescent="0.35">
      <c r="B11" s="80" t="s">
        <v>43</v>
      </c>
      <c r="C11" s="256"/>
      <c r="D11" s="340">
        <v>29636.18</v>
      </c>
      <c r="E11" s="341">
        <v>9391.245828503841</v>
      </c>
      <c r="F11" s="340">
        <v>7903.6313999999984</v>
      </c>
      <c r="G11" s="340" t="s">
        <v>37</v>
      </c>
      <c r="H11" s="340">
        <v>2588.9525103448277</v>
      </c>
      <c r="I11" s="340">
        <v>2588.9525103448277</v>
      </c>
      <c r="J11" s="340">
        <v>46931.057228503836</v>
      </c>
      <c r="K11" s="340">
        <v>61948.995541625067</v>
      </c>
      <c r="L11" s="340" t="s">
        <v>38</v>
      </c>
      <c r="M11" s="341">
        <v>100</v>
      </c>
      <c r="N11" s="261"/>
      <c r="O11" s="341" t="s">
        <v>268</v>
      </c>
      <c r="P11" s="341">
        <v>0</v>
      </c>
      <c r="Q11" s="342">
        <v>1</v>
      </c>
      <c r="R11" s="343">
        <v>1</v>
      </c>
      <c r="S11" s="344">
        <v>0</v>
      </c>
      <c r="T11" s="258" t="s">
        <v>50</v>
      </c>
      <c r="U11" s="345" t="s">
        <v>78</v>
      </c>
      <c r="V11" s="261"/>
      <c r="W11" s="261"/>
      <c r="X11" s="261"/>
      <c r="Y11" s="261"/>
      <c r="Z11" s="261"/>
      <c r="AA11" s="261"/>
      <c r="AB11" s="261"/>
    </row>
    <row r="12" spans="2:28" ht="36" x14ac:dyDescent="0.35">
      <c r="B12" s="80" t="s">
        <v>43</v>
      </c>
      <c r="C12" s="256"/>
      <c r="D12" s="340">
        <v>21415.239999999998</v>
      </c>
      <c r="E12" s="341">
        <v>3987.3947527749742</v>
      </c>
      <c r="F12" s="340">
        <v>5461.6909000000014</v>
      </c>
      <c r="G12" s="340" t="s">
        <v>37</v>
      </c>
      <c r="H12" s="340">
        <v>1853.5814413793103</v>
      </c>
      <c r="I12" s="340">
        <v>1853.5814413793103</v>
      </c>
      <c r="J12" s="340">
        <v>30864.325652774973</v>
      </c>
      <c r="K12" s="340">
        <v>40740.909861662964</v>
      </c>
      <c r="L12" s="340" t="s">
        <v>38</v>
      </c>
      <c r="M12" s="341">
        <v>100</v>
      </c>
      <c r="N12" s="261"/>
      <c r="O12" s="341" t="s">
        <v>225</v>
      </c>
      <c r="P12" s="341">
        <v>0</v>
      </c>
      <c r="Q12" s="342">
        <v>1</v>
      </c>
      <c r="R12" s="343">
        <v>1</v>
      </c>
      <c r="S12" s="344">
        <v>0</v>
      </c>
      <c r="T12" s="258" t="s">
        <v>40</v>
      </c>
      <c r="U12" s="345" t="s">
        <v>81</v>
      </c>
      <c r="V12" s="261"/>
      <c r="W12" s="261"/>
      <c r="X12" s="261"/>
      <c r="Y12" s="261"/>
      <c r="Z12" s="261"/>
      <c r="AA12" s="261"/>
      <c r="AB12" s="261"/>
    </row>
    <row r="13" spans="2:28" ht="36" x14ac:dyDescent="0.35">
      <c r="B13" s="80" t="s">
        <v>43</v>
      </c>
      <c r="C13" s="256"/>
      <c r="D13" s="340">
        <v>29341.19</v>
      </c>
      <c r="E13" s="341">
        <v>9391.245828503841</v>
      </c>
      <c r="F13" s="340">
        <v>6855.6778500000037</v>
      </c>
      <c r="G13" s="340" t="s">
        <v>37</v>
      </c>
      <c r="H13" s="340">
        <v>2496.3357137931034</v>
      </c>
      <c r="I13" s="340">
        <v>2496.3357137931034</v>
      </c>
      <c r="J13" s="340">
        <v>45588.11367850384</v>
      </c>
      <c r="K13" s="340">
        <v>60176.310055625072</v>
      </c>
      <c r="L13" s="340" t="s">
        <v>38</v>
      </c>
      <c r="M13" s="341">
        <v>100</v>
      </c>
      <c r="N13" s="261"/>
      <c r="O13" s="341" t="s">
        <v>269</v>
      </c>
      <c r="P13" s="341">
        <v>0</v>
      </c>
      <c r="Q13" s="342">
        <v>1</v>
      </c>
      <c r="R13" s="343">
        <v>1</v>
      </c>
      <c r="S13" s="344">
        <v>0</v>
      </c>
      <c r="T13" s="258" t="s">
        <v>50</v>
      </c>
      <c r="U13" s="345" t="s">
        <v>51</v>
      </c>
      <c r="V13" s="261"/>
      <c r="W13" s="261"/>
      <c r="X13" s="261"/>
      <c r="Y13" s="261"/>
      <c r="Z13" s="261"/>
      <c r="AA13" s="261"/>
      <c r="AB13" s="261"/>
    </row>
    <row r="14" spans="2:28" ht="36" x14ac:dyDescent="0.35">
      <c r="B14" s="80" t="s">
        <v>43</v>
      </c>
      <c r="C14" s="256"/>
      <c r="D14" s="340">
        <v>27740.3</v>
      </c>
      <c r="E14" s="341">
        <v>2961.4411162790702</v>
      </c>
      <c r="F14" s="340">
        <v>23563.914299999993</v>
      </c>
      <c r="G14" s="340" t="s">
        <v>37</v>
      </c>
      <c r="H14" s="340">
        <v>3538.2216758620684</v>
      </c>
      <c r="I14" s="340">
        <v>3538.2216758620684</v>
      </c>
      <c r="J14" s="340">
        <v>54265.655416279064</v>
      </c>
      <c r="K14" s="340">
        <v>71630.66514948837</v>
      </c>
      <c r="L14" s="340" t="s">
        <v>38</v>
      </c>
      <c r="M14" s="341">
        <v>100</v>
      </c>
      <c r="N14" s="261"/>
      <c r="O14" s="341" t="s">
        <v>270</v>
      </c>
      <c r="P14" s="341">
        <v>0</v>
      </c>
      <c r="Q14" s="342">
        <v>1</v>
      </c>
      <c r="R14" s="343">
        <v>1</v>
      </c>
      <c r="S14" s="344">
        <v>0</v>
      </c>
      <c r="T14" s="258" t="s">
        <v>68</v>
      </c>
      <c r="U14" s="345" t="s">
        <v>51</v>
      </c>
      <c r="V14" s="261"/>
      <c r="W14" s="261"/>
      <c r="X14" s="261"/>
      <c r="Y14" s="261"/>
      <c r="Z14" s="261"/>
      <c r="AA14" s="261"/>
      <c r="AB14" s="261"/>
    </row>
    <row r="15" spans="2:28" ht="36" x14ac:dyDescent="0.35">
      <c r="B15" s="80" t="s">
        <v>43</v>
      </c>
      <c r="C15" s="256"/>
      <c r="D15" s="340">
        <v>30035.32</v>
      </c>
      <c r="E15" s="341">
        <v>9750.1238241235915</v>
      </c>
      <c r="F15" s="340">
        <v>23352.556300000004</v>
      </c>
      <c r="G15" s="340" t="s">
        <v>37</v>
      </c>
      <c r="H15" s="340">
        <v>3681.9225034482761</v>
      </c>
      <c r="I15" s="340">
        <v>3681.9225034482761</v>
      </c>
      <c r="J15" s="340">
        <v>63138.000124123595</v>
      </c>
      <c r="K15" s="340">
        <v>81238.000124123588</v>
      </c>
      <c r="L15" s="340" t="s">
        <v>38</v>
      </c>
      <c r="M15" s="341">
        <v>100</v>
      </c>
      <c r="N15" s="261"/>
      <c r="O15" s="341" t="s">
        <v>271</v>
      </c>
      <c r="P15" s="341">
        <v>0</v>
      </c>
      <c r="Q15" s="342">
        <v>1</v>
      </c>
      <c r="R15" s="343">
        <v>1</v>
      </c>
      <c r="S15" s="344">
        <v>0</v>
      </c>
      <c r="T15" s="258" t="s">
        <v>46</v>
      </c>
      <c r="U15" s="345" t="s">
        <v>47</v>
      </c>
      <c r="V15" s="261"/>
      <c r="W15" s="261"/>
      <c r="X15" s="261"/>
      <c r="Y15" s="261"/>
      <c r="Z15" s="261"/>
      <c r="AA15" s="261"/>
      <c r="AB15" s="261"/>
    </row>
    <row r="16" spans="2:28" ht="36" x14ac:dyDescent="0.35">
      <c r="B16" s="80" t="s">
        <v>43</v>
      </c>
      <c r="C16" s="256"/>
      <c r="D16" s="340">
        <v>29305.7</v>
      </c>
      <c r="E16" s="341">
        <v>9391.245828503841</v>
      </c>
      <c r="F16" s="340">
        <v>7316.3768999999993</v>
      </c>
      <c r="G16" s="340" t="s">
        <v>37</v>
      </c>
      <c r="H16" s="340">
        <v>2525.6604758620688</v>
      </c>
      <c r="I16" s="340">
        <v>2525.6604758620688</v>
      </c>
      <c r="J16" s="340">
        <v>46013.322728503845</v>
      </c>
      <c r="K16" s="340">
        <v>60737.586001625081</v>
      </c>
      <c r="L16" s="340" t="s">
        <v>38</v>
      </c>
      <c r="M16" s="341">
        <v>100</v>
      </c>
      <c r="N16" s="261"/>
      <c r="O16" s="341" t="s">
        <v>272</v>
      </c>
      <c r="P16" s="341">
        <v>0</v>
      </c>
      <c r="Q16" s="342">
        <v>1</v>
      </c>
      <c r="R16" s="343">
        <v>1</v>
      </c>
      <c r="S16" s="344">
        <v>0</v>
      </c>
      <c r="T16" s="258" t="s">
        <v>50</v>
      </c>
      <c r="U16" s="345" t="s">
        <v>51</v>
      </c>
      <c r="V16" s="261"/>
      <c r="W16" s="261"/>
      <c r="X16" s="261"/>
      <c r="Y16" s="261"/>
      <c r="Z16" s="261"/>
      <c r="AA16" s="261"/>
      <c r="AB16" s="261"/>
    </row>
    <row r="17" spans="2:28" ht="36" x14ac:dyDescent="0.35">
      <c r="B17" s="80" t="s">
        <v>43</v>
      </c>
      <c r="C17" s="256"/>
      <c r="D17" s="340">
        <v>29387.02</v>
      </c>
      <c r="E17" s="341">
        <v>9391.245828503841</v>
      </c>
      <c r="F17" s="340">
        <v>10660.6378</v>
      </c>
      <c r="G17" s="340" t="s">
        <v>37</v>
      </c>
      <c r="H17" s="340">
        <v>2761.9074344827586</v>
      </c>
      <c r="I17" s="340">
        <v>2761.9074344827586</v>
      </c>
      <c r="J17" s="340">
        <v>49438.903628503846</v>
      </c>
      <c r="K17" s="340">
        <v>65259.352789625082</v>
      </c>
      <c r="L17" s="340" t="s">
        <v>38</v>
      </c>
      <c r="M17" s="341">
        <v>189</v>
      </c>
      <c r="N17" s="261"/>
      <c r="O17" s="341" t="s">
        <v>273</v>
      </c>
      <c r="P17" s="341">
        <v>0</v>
      </c>
      <c r="Q17" s="342">
        <v>1</v>
      </c>
      <c r="R17" s="343">
        <v>1</v>
      </c>
      <c r="S17" s="344">
        <v>0</v>
      </c>
      <c r="T17" s="258" t="s">
        <v>50</v>
      </c>
      <c r="U17" s="345" t="s">
        <v>51</v>
      </c>
      <c r="V17" s="261"/>
      <c r="W17" s="261"/>
      <c r="X17" s="261"/>
      <c r="Y17" s="261"/>
      <c r="Z17" s="261"/>
      <c r="AA17" s="261"/>
      <c r="AB17" s="261"/>
    </row>
    <row r="18" spans="2:28" ht="36" x14ac:dyDescent="0.35">
      <c r="B18" s="80" t="s">
        <v>43</v>
      </c>
      <c r="C18" s="256"/>
      <c r="D18" s="340">
        <v>29814.2</v>
      </c>
      <c r="E18" s="341">
        <v>9391.245828503841</v>
      </c>
      <c r="F18" s="340">
        <v>7313.7642000000014</v>
      </c>
      <c r="G18" s="340" t="s">
        <v>37</v>
      </c>
      <c r="H18" s="340">
        <v>2560.5492551724137</v>
      </c>
      <c r="I18" s="340">
        <v>2560.5492551724137</v>
      </c>
      <c r="J18" s="340">
        <v>46519.210028503847</v>
      </c>
      <c r="K18" s="340">
        <v>61405.357237625081</v>
      </c>
      <c r="L18" s="340" t="s">
        <v>38</v>
      </c>
      <c r="M18" s="341">
        <v>100</v>
      </c>
      <c r="N18" s="261"/>
      <c r="O18" s="341" t="s">
        <v>274</v>
      </c>
      <c r="P18" s="341">
        <v>0</v>
      </c>
      <c r="Q18" s="342">
        <v>1</v>
      </c>
      <c r="R18" s="343">
        <v>1</v>
      </c>
      <c r="S18" s="344">
        <v>0</v>
      </c>
      <c r="T18" s="258" t="s">
        <v>50</v>
      </c>
      <c r="U18" s="345" t="s">
        <v>51</v>
      </c>
      <c r="V18" s="261"/>
      <c r="W18" s="261"/>
      <c r="X18" s="261"/>
      <c r="Y18" s="261"/>
      <c r="Z18" s="261"/>
      <c r="AA18" s="261"/>
      <c r="AB18" s="261"/>
    </row>
    <row r="19" spans="2:28" ht="36" x14ac:dyDescent="0.35">
      <c r="B19" s="80" t="s">
        <v>43</v>
      </c>
      <c r="C19" s="256"/>
      <c r="D19" s="340">
        <v>29743.059999999998</v>
      </c>
      <c r="E19" s="341">
        <v>9391.245828503841</v>
      </c>
      <c r="F19" s="340">
        <v>8116.7527000000046</v>
      </c>
      <c r="G19" s="340" t="s">
        <v>37</v>
      </c>
      <c r="H19" s="340">
        <v>2611.0215655172415</v>
      </c>
      <c r="I19" s="340">
        <v>2611.0215655172415</v>
      </c>
      <c r="J19" s="340">
        <v>47251.05852850384</v>
      </c>
      <c r="K19" s="340">
        <v>62371.397257625074</v>
      </c>
      <c r="L19" s="340" t="s">
        <v>38</v>
      </c>
      <c r="M19" s="341">
        <v>100</v>
      </c>
      <c r="N19" s="261"/>
      <c r="O19" s="341" t="s">
        <v>275</v>
      </c>
      <c r="P19" s="341">
        <v>0</v>
      </c>
      <c r="Q19" s="342">
        <v>1</v>
      </c>
      <c r="R19" s="343">
        <v>1</v>
      </c>
      <c r="S19" s="344">
        <v>0</v>
      </c>
      <c r="T19" s="258" t="s">
        <v>50</v>
      </c>
      <c r="U19" s="345" t="s">
        <v>51</v>
      </c>
      <c r="V19" s="261"/>
      <c r="W19" s="261"/>
      <c r="X19" s="261"/>
      <c r="Y19" s="261"/>
      <c r="Z19" s="261"/>
      <c r="AA19" s="261"/>
      <c r="AB19" s="261"/>
    </row>
    <row r="20" spans="2:28" ht="36" x14ac:dyDescent="0.35">
      <c r="B20" s="80" t="s">
        <v>43</v>
      </c>
      <c r="C20" s="256"/>
      <c r="D20" s="340">
        <v>29626.21</v>
      </c>
      <c r="E20" s="341">
        <v>9391.245828503841</v>
      </c>
      <c r="F20" s="340">
        <v>12367.175350000005</v>
      </c>
      <c r="G20" s="340" t="s">
        <v>37</v>
      </c>
      <c r="H20" s="340">
        <v>2896.0955413793108</v>
      </c>
      <c r="I20" s="340">
        <v>2896.0955413793108</v>
      </c>
      <c r="J20" s="340">
        <v>51384.631178503842</v>
      </c>
      <c r="K20" s="340">
        <v>67827.713155625068</v>
      </c>
      <c r="L20" s="340" t="s">
        <v>38</v>
      </c>
      <c r="M20" s="341">
        <v>100</v>
      </c>
      <c r="N20" s="261"/>
      <c r="O20" s="341" t="s">
        <v>276</v>
      </c>
      <c r="P20" s="341">
        <v>0</v>
      </c>
      <c r="Q20" s="342">
        <v>1</v>
      </c>
      <c r="R20" s="343">
        <v>1</v>
      </c>
      <c r="S20" s="344">
        <v>0</v>
      </c>
      <c r="T20" s="258" t="s">
        <v>50</v>
      </c>
      <c r="U20" s="345" t="s">
        <v>51</v>
      </c>
      <c r="V20" s="261"/>
      <c r="W20" s="261"/>
      <c r="X20" s="261"/>
      <c r="Y20" s="261"/>
      <c r="Z20" s="261"/>
      <c r="AA20" s="261"/>
      <c r="AB20" s="261"/>
    </row>
    <row r="21" spans="2:28" ht="36" x14ac:dyDescent="0.35">
      <c r="B21" s="80" t="s">
        <v>43</v>
      </c>
      <c r="C21" s="256"/>
      <c r="D21" s="340">
        <v>20646.419999999998</v>
      </c>
      <c r="E21" s="341">
        <v>3987.3947527749742</v>
      </c>
      <c r="F21" s="340">
        <v>2346.2801000000036</v>
      </c>
      <c r="G21" s="340" t="s">
        <v>37</v>
      </c>
      <c r="H21" s="340">
        <v>1585.7034551724139</v>
      </c>
      <c r="I21" s="340">
        <v>1585.7034551724139</v>
      </c>
      <c r="J21" s="340">
        <v>26980.094852774975</v>
      </c>
      <c r="K21" s="340">
        <v>35613.725205662966</v>
      </c>
      <c r="L21" s="340" t="s">
        <v>38</v>
      </c>
      <c r="M21" s="341">
        <v>100</v>
      </c>
      <c r="N21" s="261"/>
      <c r="O21" s="341" t="s">
        <v>277</v>
      </c>
      <c r="P21" s="341">
        <v>0</v>
      </c>
      <c r="Q21" s="342">
        <v>1</v>
      </c>
      <c r="R21" s="343">
        <v>1</v>
      </c>
      <c r="S21" s="344">
        <v>0</v>
      </c>
      <c r="T21" s="258" t="s">
        <v>40</v>
      </c>
      <c r="U21" s="345" t="s">
        <v>41</v>
      </c>
      <c r="V21" s="261"/>
      <c r="W21" s="261"/>
      <c r="X21" s="261"/>
      <c r="Y21" s="261"/>
      <c r="Z21" s="261"/>
      <c r="AA21" s="261"/>
      <c r="AB21" s="261"/>
    </row>
    <row r="22" spans="2:28" ht="36" x14ac:dyDescent="0.35">
      <c r="B22" s="80" t="s">
        <v>36</v>
      </c>
      <c r="C22" s="256"/>
      <c r="D22" s="340">
        <v>16019.7912</v>
      </c>
      <c r="E22" s="341">
        <v>3987.3947527749742</v>
      </c>
      <c r="F22" s="340">
        <v>1981.476499999997</v>
      </c>
      <c r="G22" s="340" t="s">
        <v>37</v>
      </c>
      <c r="H22" s="340">
        <v>1241.4667379310342</v>
      </c>
      <c r="I22" s="340">
        <v>1241.4667379310342</v>
      </c>
      <c r="J22" s="340">
        <v>21988.66245277497</v>
      </c>
      <c r="K22" s="340">
        <v>29025.034437662962</v>
      </c>
      <c r="L22" s="340" t="s">
        <v>38</v>
      </c>
      <c r="M22" s="341">
        <v>200</v>
      </c>
      <c r="N22" s="261"/>
      <c r="O22" s="341" t="s">
        <v>278</v>
      </c>
      <c r="P22" s="341">
        <v>0</v>
      </c>
      <c r="Q22" s="342">
        <v>0.77</v>
      </c>
      <c r="R22" s="343">
        <v>0.77</v>
      </c>
      <c r="S22" s="344">
        <v>0</v>
      </c>
      <c r="T22" s="258" t="s">
        <v>40</v>
      </c>
      <c r="U22" s="345" t="s">
        <v>41</v>
      </c>
      <c r="V22" s="261"/>
      <c r="W22" s="261"/>
      <c r="X22" s="261"/>
      <c r="Y22" s="261"/>
      <c r="Z22" s="261"/>
      <c r="AA22" s="261"/>
      <c r="AB22" s="261"/>
    </row>
    <row r="23" spans="2:28" ht="36" x14ac:dyDescent="0.35">
      <c r="B23" s="80" t="s">
        <v>43</v>
      </c>
      <c r="C23" s="256"/>
      <c r="D23" s="340">
        <v>25020.5</v>
      </c>
      <c r="E23" s="341">
        <v>2091.9003529411771</v>
      </c>
      <c r="F23" s="340">
        <v>10689.058799999999</v>
      </c>
      <c r="G23" s="340" t="s">
        <v>37</v>
      </c>
      <c r="H23" s="340">
        <v>2462.7281931034481</v>
      </c>
      <c r="I23" s="340">
        <v>2462.7281931034481</v>
      </c>
      <c r="J23" s="340">
        <v>37801.459152941177</v>
      </c>
      <c r="K23" s="340">
        <v>49897.926081882353</v>
      </c>
      <c r="L23" s="340" t="s">
        <v>38</v>
      </c>
      <c r="M23" s="341">
        <v>189</v>
      </c>
      <c r="N23" s="261"/>
      <c r="O23" s="341" t="s">
        <v>279</v>
      </c>
      <c r="P23" s="341">
        <v>0</v>
      </c>
      <c r="Q23" s="342">
        <v>1</v>
      </c>
      <c r="R23" s="343">
        <v>1</v>
      </c>
      <c r="S23" s="344">
        <v>0</v>
      </c>
      <c r="T23" s="258" t="s">
        <v>71</v>
      </c>
      <c r="U23" s="345" t="s">
        <v>54</v>
      </c>
      <c r="V23" s="261"/>
      <c r="W23" s="261"/>
      <c r="X23" s="261"/>
      <c r="Y23" s="261"/>
      <c r="Z23" s="261"/>
      <c r="AA23" s="261"/>
      <c r="AB23" s="261"/>
    </row>
    <row r="24" spans="2:28" ht="36" x14ac:dyDescent="0.35">
      <c r="B24" s="80" t="s">
        <v>43</v>
      </c>
      <c r="C24" s="256"/>
      <c r="D24" s="340">
        <v>16977.356</v>
      </c>
      <c r="E24" s="341">
        <v>1619.8840465116282</v>
      </c>
      <c r="F24" s="340">
        <v>3432.1497000000018</v>
      </c>
      <c r="G24" s="340" t="s">
        <v>37</v>
      </c>
      <c r="H24" s="340">
        <v>1407.5521172413794</v>
      </c>
      <c r="I24" s="340">
        <v>1407.5521172413794</v>
      </c>
      <c r="J24" s="340">
        <v>22029.389746511632</v>
      </c>
      <c r="K24" s="340">
        <v>29078.794465395356</v>
      </c>
      <c r="L24" s="340" t="s">
        <v>38</v>
      </c>
      <c r="M24" s="341">
        <v>289</v>
      </c>
      <c r="N24" s="261"/>
      <c r="O24" s="341" t="s">
        <v>64</v>
      </c>
      <c r="P24" s="341">
        <v>0</v>
      </c>
      <c r="Q24" s="342">
        <v>0.85</v>
      </c>
      <c r="R24" s="343">
        <v>0.85</v>
      </c>
      <c r="S24" s="344">
        <v>0</v>
      </c>
      <c r="T24" s="258" t="s">
        <v>65</v>
      </c>
      <c r="U24" s="345" t="s">
        <v>81</v>
      </c>
      <c r="V24" s="261"/>
      <c r="W24" s="261"/>
      <c r="X24" s="261"/>
      <c r="Y24" s="261"/>
      <c r="Z24" s="261"/>
      <c r="AA24" s="261"/>
      <c r="AB24" s="261"/>
    </row>
    <row r="25" spans="2:28" ht="36" x14ac:dyDescent="0.35">
      <c r="B25" s="80" t="s">
        <v>43</v>
      </c>
      <c r="C25" s="256"/>
      <c r="D25" s="340">
        <v>16000</v>
      </c>
      <c r="E25" s="341">
        <v>9391.245828503841</v>
      </c>
      <c r="F25" s="340">
        <v>1158.819099999997</v>
      </c>
      <c r="G25" s="340" t="s">
        <v>37</v>
      </c>
      <c r="H25" s="340">
        <v>1183.3668344827583</v>
      </c>
      <c r="I25" s="340">
        <v>1183.3668344827583</v>
      </c>
      <c r="J25" s="340">
        <v>26550.064928503838</v>
      </c>
      <c r="K25" s="340">
        <v>35046.085705625068</v>
      </c>
      <c r="L25" s="340" t="s">
        <v>38</v>
      </c>
      <c r="M25" s="341">
        <v>189</v>
      </c>
      <c r="N25" s="261"/>
      <c r="O25" s="341" t="s">
        <v>280</v>
      </c>
      <c r="P25" s="341">
        <v>0</v>
      </c>
      <c r="Q25" s="342">
        <v>1</v>
      </c>
      <c r="R25" s="343">
        <v>1</v>
      </c>
      <c r="S25" s="344">
        <v>0</v>
      </c>
      <c r="T25" s="258" t="s">
        <v>50</v>
      </c>
      <c r="U25" s="345" t="s">
        <v>51</v>
      </c>
      <c r="V25" s="261"/>
      <c r="W25" s="261"/>
      <c r="X25" s="261"/>
      <c r="Y25" s="261"/>
      <c r="Z25" s="261"/>
      <c r="AA25" s="261"/>
      <c r="AB25" s="261"/>
    </row>
    <row r="26" spans="2:28" ht="36" x14ac:dyDescent="0.35">
      <c r="B26" s="80" t="s">
        <v>36</v>
      </c>
      <c r="C26" s="256"/>
      <c r="D26" s="340">
        <v>28399.309999999998</v>
      </c>
      <c r="E26" s="341">
        <v>9391.245828503841</v>
      </c>
      <c r="F26" s="340">
        <v>5195.0503499999977</v>
      </c>
      <c r="G26" s="340" t="s">
        <v>37</v>
      </c>
      <c r="H26" s="340">
        <v>2316.8524379310343</v>
      </c>
      <c r="I26" s="340">
        <v>2316.8524379310343</v>
      </c>
      <c r="J26" s="340">
        <v>42985.606178503833</v>
      </c>
      <c r="K26" s="340">
        <v>56741.000155625065</v>
      </c>
      <c r="L26" s="340" t="s">
        <v>38</v>
      </c>
      <c r="M26" s="341">
        <v>189</v>
      </c>
      <c r="N26" s="261"/>
      <c r="O26" s="341" t="s">
        <v>281</v>
      </c>
      <c r="P26" s="341">
        <v>0</v>
      </c>
      <c r="Q26" s="342">
        <v>1</v>
      </c>
      <c r="R26" s="343">
        <v>1</v>
      </c>
      <c r="S26" s="344">
        <v>0</v>
      </c>
      <c r="T26" s="258" t="s">
        <v>50</v>
      </c>
      <c r="U26" s="345" t="s">
        <v>51</v>
      </c>
      <c r="V26" s="261"/>
      <c r="W26" s="261"/>
      <c r="X26" s="261"/>
      <c r="Y26" s="261"/>
      <c r="Z26" s="261"/>
      <c r="AA26" s="261"/>
      <c r="AB26" s="261"/>
    </row>
    <row r="27" spans="2:28" ht="36" x14ac:dyDescent="0.35">
      <c r="B27" s="80" t="s">
        <v>43</v>
      </c>
      <c r="C27" s="256"/>
      <c r="D27" s="340">
        <v>19865.449999999997</v>
      </c>
      <c r="E27" s="341">
        <v>3987.3947527749742</v>
      </c>
      <c r="F27" s="340">
        <v>1644.6643500000027</v>
      </c>
      <c r="G27" s="340" t="s">
        <v>37</v>
      </c>
      <c r="H27" s="340">
        <v>1483.4561620689656</v>
      </c>
      <c r="I27" s="340">
        <v>1483.4561620689656</v>
      </c>
      <c r="J27" s="340">
        <v>25497.509102774973</v>
      </c>
      <c r="K27" s="340">
        <v>33656.712015662968</v>
      </c>
      <c r="L27" s="340" t="s">
        <v>38</v>
      </c>
      <c r="M27" s="341">
        <v>189</v>
      </c>
      <c r="N27" s="261"/>
      <c r="O27" s="341" t="s">
        <v>282</v>
      </c>
      <c r="P27" s="341">
        <v>0</v>
      </c>
      <c r="Q27" s="342">
        <v>1</v>
      </c>
      <c r="R27" s="343">
        <v>1</v>
      </c>
      <c r="S27" s="344">
        <v>0</v>
      </c>
      <c r="T27" s="258" t="s">
        <v>40</v>
      </c>
      <c r="U27" s="345" t="s">
        <v>41</v>
      </c>
      <c r="V27" s="261"/>
      <c r="W27" s="261"/>
      <c r="X27" s="261"/>
      <c r="Y27" s="261"/>
      <c r="Z27" s="261"/>
      <c r="AA27" s="261"/>
      <c r="AB27" s="261"/>
    </row>
    <row r="28" spans="2:28" ht="36" x14ac:dyDescent="0.35">
      <c r="B28" s="80" t="s">
        <v>36</v>
      </c>
      <c r="C28" s="256"/>
      <c r="D28" s="340">
        <v>19200.22</v>
      </c>
      <c r="E28" s="341">
        <v>3987.3947527749742</v>
      </c>
      <c r="F28" s="340">
        <v>3155.3961999999992</v>
      </c>
      <c r="G28" s="340" t="s">
        <v>37</v>
      </c>
      <c r="H28" s="340">
        <v>1541.7666344827587</v>
      </c>
      <c r="I28" s="340">
        <v>1541.7666344827587</v>
      </c>
      <c r="J28" s="340">
        <v>26343.010952774974</v>
      </c>
      <c r="K28" s="340">
        <v>34772.77445766297</v>
      </c>
      <c r="L28" s="340" t="s">
        <v>38</v>
      </c>
      <c r="M28" s="341">
        <v>189</v>
      </c>
      <c r="N28" s="261"/>
      <c r="O28" s="341" t="s">
        <v>283</v>
      </c>
      <c r="P28" s="341">
        <v>0</v>
      </c>
      <c r="Q28" s="342">
        <v>1</v>
      </c>
      <c r="R28" s="343">
        <v>1</v>
      </c>
      <c r="S28" s="344">
        <v>0</v>
      </c>
      <c r="T28" s="258" t="s">
        <v>40</v>
      </c>
      <c r="U28" s="345" t="s">
        <v>81</v>
      </c>
      <c r="V28" s="261"/>
      <c r="W28" s="261"/>
      <c r="X28" s="261"/>
      <c r="Y28" s="261"/>
      <c r="Z28" s="261"/>
      <c r="AA28" s="261"/>
      <c r="AB28" s="261"/>
    </row>
    <row r="29" spans="2:28" ht="36" x14ac:dyDescent="0.35">
      <c r="B29" s="80" t="s">
        <v>43</v>
      </c>
      <c r="C29" s="256"/>
      <c r="D29" s="340">
        <v>19115.82</v>
      </c>
      <c r="E29" s="341">
        <v>3987.3947527749742</v>
      </c>
      <c r="F29" s="340">
        <v>2867.7137000000002</v>
      </c>
      <c r="G29" s="340" t="s">
        <v>37</v>
      </c>
      <c r="H29" s="340">
        <v>1516.1057724137931</v>
      </c>
      <c r="I29" s="340">
        <v>1516.1057724137931</v>
      </c>
      <c r="J29" s="340">
        <v>25970.928452774973</v>
      </c>
      <c r="K29" s="340">
        <v>34281.625557662963</v>
      </c>
      <c r="L29" s="340" t="s">
        <v>38</v>
      </c>
      <c r="M29" s="341">
        <v>189</v>
      </c>
      <c r="N29" s="261"/>
      <c r="O29" s="341" t="s">
        <v>106</v>
      </c>
      <c r="P29" s="341">
        <v>0</v>
      </c>
      <c r="Q29" s="342">
        <v>1</v>
      </c>
      <c r="R29" s="343">
        <v>1</v>
      </c>
      <c r="S29" s="344">
        <v>0</v>
      </c>
      <c r="T29" s="258" t="s">
        <v>40</v>
      </c>
      <c r="U29" s="345" t="s">
        <v>81</v>
      </c>
      <c r="V29" s="261"/>
      <c r="W29" s="261"/>
      <c r="X29" s="261"/>
      <c r="Y29" s="261"/>
      <c r="Z29" s="261"/>
      <c r="AA29" s="261"/>
      <c r="AB29" s="261"/>
    </row>
    <row r="30" spans="2:28" ht="36" x14ac:dyDescent="0.35">
      <c r="B30" s="80" t="s">
        <v>43</v>
      </c>
      <c r="C30" s="256"/>
      <c r="D30" s="340">
        <v>29214.579999999998</v>
      </c>
      <c r="E30" s="341">
        <v>9391.245828503841</v>
      </c>
      <c r="F30" s="340">
        <v>5202.9675999999999</v>
      </c>
      <c r="G30" s="340" t="s">
        <v>37</v>
      </c>
      <c r="H30" s="340">
        <v>2373.6239724137931</v>
      </c>
      <c r="I30" s="340">
        <v>2373.6239724137931</v>
      </c>
      <c r="J30" s="340">
        <v>43808.793428503835</v>
      </c>
      <c r="K30" s="340">
        <v>57827.607325625067</v>
      </c>
      <c r="L30" s="340" t="s">
        <v>38</v>
      </c>
      <c r="M30" s="341">
        <v>100</v>
      </c>
      <c r="N30" s="261"/>
      <c r="O30" s="341" t="s">
        <v>284</v>
      </c>
      <c r="P30" s="341">
        <v>0</v>
      </c>
      <c r="Q30" s="342">
        <v>1</v>
      </c>
      <c r="R30" s="343">
        <v>1</v>
      </c>
      <c r="S30" s="344">
        <v>0</v>
      </c>
      <c r="T30" s="258" t="s">
        <v>50</v>
      </c>
      <c r="U30" s="345" t="s">
        <v>51</v>
      </c>
      <c r="V30" s="261"/>
      <c r="W30" s="261"/>
      <c r="X30" s="261"/>
      <c r="Y30" s="261"/>
      <c r="Z30" s="261"/>
      <c r="AA30" s="261"/>
      <c r="AB30" s="261"/>
    </row>
    <row r="31" spans="2:28" ht="36" x14ac:dyDescent="0.35">
      <c r="B31" s="80" t="s">
        <v>43</v>
      </c>
      <c r="C31" s="256"/>
      <c r="D31" s="340">
        <v>27261.430000000004</v>
      </c>
      <c r="E31" s="341">
        <v>9391.245828503841</v>
      </c>
      <c r="F31" s="340">
        <v>6264.8687499999978</v>
      </c>
      <c r="G31" s="340" t="s">
        <v>37</v>
      </c>
      <c r="H31" s="340">
        <v>2312.1585344827586</v>
      </c>
      <c r="I31" s="340">
        <v>2312.1585344827586</v>
      </c>
      <c r="J31" s="340">
        <v>42917.544578503846</v>
      </c>
      <c r="K31" s="340">
        <v>56651.158843625082</v>
      </c>
      <c r="L31" s="340" t="s">
        <v>38</v>
      </c>
      <c r="M31" s="341">
        <v>100</v>
      </c>
      <c r="N31" s="261"/>
      <c r="O31" s="341" t="s">
        <v>285</v>
      </c>
      <c r="P31" s="341">
        <v>0</v>
      </c>
      <c r="Q31" s="342">
        <v>1</v>
      </c>
      <c r="R31" s="343">
        <v>1</v>
      </c>
      <c r="S31" s="344">
        <v>0</v>
      </c>
      <c r="T31" s="258" t="s">
        <v>50</v>
      </c>
      <c r="U31" s="345" t="s">
        <v>78</v>
      </c>
      <c r="V31" s="261"/>
      <c r="W31" s="261"/>
      <c r="X31" s="261"/>
      <c r="Y31" s="261"/>
      <c r="Z31" s="261"/>
      <c r="AA31" s="261"/>
      <c r="AB31" s="261"/>
    </row>
    <row r="32" spans="2:28" ht="36" x14ac:dyDescent="0.35">
      <c r="B32" s="80" t="s">
        <v>36</v>
      </c>
      <c r="C32" s="256"/>
      <c r="D32" s="340">
        <v>29153.729999999996</v>
      </c>
      <c r="E32" s="341">
        <v>9750.1238241235915</v>
      </c>
      <c r="F32" s="340">
        <v>23678.237450000001</v>
      </c>
      <c r="G32" s="340" t="s">
        <v>37</v>
      </c>
      <c r="H32" s="340">
        <v>3643.5839620689653</v>
      </c>
      <c r="I32" s="340">
        <v>3643.5839620689653</v>
      </c>
      <c r="J32" s="340">
        <v>62582.091274123588</v>
      </c>
      <c r="K32" s="340">
        <v>80682.091274123581</v>
      </c>
      <c r="L32" s="340" t="s">
        <v>38</v>
      </c>
      <c r="M32" s="341">
        <v>100</v>
      </c>
      <c r="N32" s="261"/>
      <c r="O32" s="341" t="s">
        <v>286</v>
      </c>
      <c r="P32" s="341">
        <v>0</v>
      </c>
      <c r="Q32" s="342">
        <v>1</v>
      </c>
      <c r="R32" s="343">
        <v>1</v>
      </c>
      <c r="S32" s="344">
        <v>0</v>
      </c>
      <c r="T32" s="258" t="s">
        <v>46</v>
      </c>
      <c r="U32" s="345" t="s">
        <v>89</v>
      </c>
      <c r="V32" s="261"/>
      <c r="W32" s="261"/>
      <c r="X32" s="261"/>
      <c r="Y32" s="261"/>
      <c r="Z32" s="261"/>
      <c r="AA32" s="261"/>
      <c r="AB32" s="261"/>
    </row>
    <row r="33" spans="1:28" ht="36" x14ac:dyDescent="0.35">
      <c r="B33" s="80" t="s">
        <v>43</v>
      </c>
      <c r="C33" s="256"/>
      <c r="D33" s="340">
        <v>18973.62</v>
      </c>
      <c r="E33" s="341">
        <v>3987.3947527749742</v>
      </c>
      <c r="F33" s="340">
        <v>1436.1962000000021</v>
      </c>
      <c r="G33" s="340" t="s">
        <v>37</v>
      </c>
      <c r="H33" s="340">
        <v>1407.5735310344828</v>
      </c>
      <c r="I33" s="340">
        <v>1407.5735310344828</v>
      </c>
      <c r="J33" s="340">
        <v>24397.210952774974</v>
      </c>
      <c r="K33" s="340">
        <v>32204.318457662968</v>
      </c>
      <c r="L33" s="340" t="s">
        <v>38</v>
      </c>
      <c r="M33" s="341">
        <v>410</v>
      </c>
      <c r="N33" s="261"/>
      <c r="O33" s="341" t="s">
        <v>287</v>
      </c>
      <c r="P33" s="341">
        <v>0</v>
      </c>
      <c r="Q33" s="342">
        <v>1</v>
      </c>
      <c r="R33" s="343">
        <v>1</v>
      </c>
      <c r="S33" s="344">
        <v>0</v>
      </c>
      <c r="T33" s="258" t="s">
        <v>40</v>
      </c>
      <c r="U33" s="345" t="s">
        <v>81</v>
      </c>
      <c r="V33" s="261"/>
      <c r="W33" s="261"/>
      <c r="X33" s="261"/>
      <c r="Y33" s="261"/>
      <c r="Z33" s="261"/>
      <c r="AA33" s="261"/>
      <c r="AB33" s="261"/>
    </row>
    <row r="34" spans="1:28" ht="36" x14ac:dyDescent="0.35">
      <c r="B34" s="80" t="s">
        <v>43</v>
      </c>
      <c r="C34" s="256"/>
      <c r="D34" s="340">
        <v>27085.100000000002</v>
      </c>
      <c r="E34" s="341">
        <v>9391.245828503841</v>
      </c>
      <c r="F34" s="340">
        <v>6654.1913999999997</v>
      </c>
      <c r="G34" s="340" t="s">
        <v>37</v>
      </c>
      <c r="H34" s="340">
        <v>2326.847682758621</v>
      </c>
      <c r="I34" s="340">
        <v>2326.847682758621</v>
      </c>
      <c r="J34" s="340">
        <v>43130.537228503847</v>
      </c>
      <c r="K34" s="340">
        <v>56932.309141625083</v>
      </c>
      <c r="L34" s="340" t="s">
        <v>38</v>
      </c>
      <c r="M34" s="341">
        <v>100</v>
      </c>
      <c r="N34" s="261"/>
      <c r="O34" s="341" t="s">
        <v>264</v>
      </c>
      <c r="P34" s="341">
        <v>0</v>
      </c>
      <c r="Q34" s="342">
        <v>1</v>
      </c>
      <c r="R34" s="343">
        <v>1</v>
      </c>
      <c r="S34" s="344">
        <v>0</v>
      </c>
      <c r="T34" s="258" t="s">
        <v>50</v>
      </c>
      <c r="U34" s="345" t="s">
        <v>78</v>
      </c>
      <c r="V34" s="261"/>
      <c r="W34" s="261"/>
      <c r="X34" s="261"/>
      <c r="Y34" s="261"/>
      <c r="Z34" s="261"/>
      <c r="AA34" s="261"/>
      <c r="AB34" s="261"/>
    </row>
    <row r="35" spans="1:28" ht="36" x14ac:dyDescent="0.35">
      <c r="B35" s="80" t="s">
        <v>43</v>
      </c>
      <c r="C35" s="256"/>
      <c r="D35" s="340">
        <v>27085.100000000002</v>
      </c>
      <c r="E35" s="341">
        <v>9391.245828503841</v>
      </c>
      <c r="F35" s="340">
        <v>4254.1091999999953</v>
      </c>
      <c r="G35" s="340" t="s">
        <v>37</v>
      </c>
      <c r="H35" s="340">
        <v>2161.3247724137927</v>
      </c>
      <c r="I35" s="340">
        <v>2161.3247724137927</v>
      </c>
      <c r="J35" s="340">
        <v>40730.455028503842</v>
      </c>
      <c r="K35" s="340">
        <v>53764.200637625072</v>
      </c>
      <c r="L35" s="340" t="s">
        <v>38</v>
      </c>
      <c r="M35" s="341">
        <v>100</v>
      </c>
      <c r="N35" s="261"/>
      <c r="O35" s="341" t="s">
        <v>288</v>
      </c>
      <c r="P35" s="341">
        <v>0</v>
      </c>
      <c r="Q35" s="342">
        <v>1</v>
      </c>
      <c r="R35" s="343">
        <v>1</v>
      </c>
      <c r="S35" s="344">
        <v>0</v>
      </c>
      <c r="T35" s="258" t="s">
        <v>50</v>
      </c>
      <c r="U35" s="345" t="s">
        <v>78</v>
      </c>
      <c r="V35" s="261"/>
      <c r="W35" s="261"/>
      <c r="X35" s="261"/>
      <c r="Y35" s="261"/>
      <c r="Z35" s="261"/>
      <c r="AA35" s="261"/>
      <c r="AB35" s="261"/>
    </row>
    <row r="36" spans="1:28" ht="36" x14ac:dyDescent="0.35">
      <c r="B36" s="80" t="s">
        <v>43</v>
      </c>
      <c r="C36" s="256"/>
      <c r="D36" s="340">
        <v>27085.100000000002</v>
      </c>
      <c r="E36" s="341">
        <v>9391.245828503841</v>
      </c>
      <c r="F36" s="340">
        <v>4584.2328000000016</v>
      </c>
      <c r="G36" s="340" t="s">
        <v>37</v>
      </c>
      <c r="H36" s="340">
        <v>2184.0919172413796</v>
      </c>
      <c r="I36" s="340">
        <v>2184.0919172413796</v>
      </c>
      <c r="J36" s="340">
        <v>41060.578628503848</v>
      </c>
      <c r="K36" s="340">
        <v>54199.963789625086</v>
      </c>
      <c r="L36" s="340" t="s">
        <v>38</v>
      </c>
      <c r="M36" s="341">
        <v>100</v>
      </c>
      <c r="N36" s="261"/>
      <c r="O36" s="341" t="s">
        <v>235</v>
      </c>
      <c r="P36" s="341">
        <v>0</v>
      </c>
      <c r="Q36" s="342">
        <v>1</v>
      </c>
      <c r="R36" s="343">
        <v>1</v>
      </c>
      <c r="S36" s="344">
        <v>0</v>
      </c>
      <c r="T36" s="258" t="s">
        <v>50</v>
      </c>
      <c r="U36" s="345" t="s">
        <v>78</v>
      </c>
      <c r="V36" s="261"/>
      <c r="W36" s="261"/>
      <c r="X36" s="261"/>
      <c r="Y36" s="261"/>
      <c r="Z36" s="261"/>
      <c r="AA36" s="261"/>
      <c r="AB36" s="261"/>
    </row>
    <row r="37" spans="1:28" ht="36" x14ac:dyDescent="0.35">
      <c r="A37" s="58"/>
      <c r="B37" s="80" t="s">
        <v>43</v>
      </c>
      <c r="C37" s="256"/>
      <c r="D37" s="340">
        <v>29366.54</v>
      </c>
      <c r="E37" s="341">
        <v>9391.245828503841</v>
      </c>
      <c r="F37" s="340">
        <v>301.69999999999709</v>
      </c>
      <c r="G37" s="340" t="s">
        <v>37</v>
      </c>
      <c r="H37" s="340">
        <v>2119.16</v>
      </c>
      <c r="I37" s="340">
        <v>2119.16</v>
      </c>
      <c r="J37" s="340">
        <v>39059.485828503835</v>
      </c>
      <c r="K37" s="340">
        <v>51558.521293625068</v>
      </c>
      <c r="L37" s="340" t="s">
        <v>38</v>
      </c>
      <c r="M37" s="341">
        <v>100</v>
      </c>
      <c r="N37" s="80"/>
      <c r="O37" s="341" t="s">
        <v>345</v>
      </c>
      <c r="P37" s="164"/>
      <c r="Q37" s="343">
        <v>1</v>
      </c>
      <c r="R37" s="343">
        <v>1</v>
      </c>
      <c r="S37" s="164"/>
      <c r="T37" s="258" t="s">
        <v>50</v>
      </c>
      <c r="U37" s="345" t="s">
        <v>51</v>
      </c>
      <c r="V37" s="80"/>
      <c r="W37" s="80"/>
      <c r="X37" s="80"/>
      <c r="Y37" s="80"/>
      <c r="Z37" s="80"/>
      <c r="AA37" s="80"/>
      <c r="AB37" s="80"/>
    </row>
    <row r="38" spans="1:28" s="20" customFormat="1" x14ac:dyDescent="0.35">
      <c r="A38" s="58"/>
      <c r="B38" s="11" t="s">
        <v>43</v>
      </c>
      <c r="C38" s="31"/>
      <c r="D38" s="12">
        <v>15012.3</v>
      </c>
      <c r="E38" s="51"/>
      <c r="F38" s="12">
        <v>6450</v>
      </c>
      <c r="G38" s="12" t="s">
        <v>37</v>
      </c>
      <c r="H38" s="12">
        <v>1533.0214285714285</v>
      </c>
      <c r="I38" s="12">
        <v>1533.0214285714285</v>
      </c>
      <c r="J38" s="12">
        <v>21462.3</v>
      </c>
      <c r="K38" s="12">
        <v>28330.236000000001</v>
      </c>
      <c r="L38" s="12" t="s">
        <v>38</v>
      </c>
      <c r="M38" s="51">
        <v>200</v>
      </c>
      <c r="N38" s="11"/>
      <c r="O38" s="51" t="s">
        <v>354</v>
      </c>
      <c r="P38" s="37"/>
      <c r="Q38" s="53">
        <v>0.6</v>
      </c>
      <c r="R38" s="53">
        <v>0.6</v>
      </c>
      <c r="S38" s="37"/>
      <c r="T38" s="38" t="s">
        <v>71</v>
      </c>
      <c r="U38" s="55" t="s">
        <v>41</v>
      </c>
      <c r="W38" s="34"/>
    </row>
    <row r="39" spans="1:28" s="20" customFormat="1" ht="12" x14ac:dyDescent="0.3">
      <c r="W39" s="34"/>
    </row>
    <row r="40" spans="1:28" s="20" customFormat="1" ht="19" thickBot="1" x14ac:dyDescent="0.5">
      <c r="B40" s="18" t="s">
        <v>17</v>
      </c>
      <c r="C40" s="1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</row>
    <row r="41" spans="1:28" s="20" customFormat="1" ht="32" thickBot="1" x14ac:dyDescent="0.35">
      <c r="B41" s="2" t="s">
        <v>344</v>
      </c>
      <c r="C41" s="2" t="s">
        <v>2</v>
      </c>
      <c r="D41" s="2" t="s">
        <v>21</v>
      </c>
      <c r="E41" s="2" t="s">
        <v>1</v>
      </c>
      <c r="F41" s="2" t="s">
        <v>22</v>
      </c>
      <c r="G41" s="2" t="s">
        <v>14</v>
      </c>
      <c r="H41" s="2" t="s">
        <v>18</v>
      </c>
      <c r="I41" s="2" t="s">
        <v>15</v>
      </c>
      <c r="J41" s="2" t="s">
        <v>10</v>
      </c>
      <c r="K41" s="2" t="s">
        <v>23</v>
      </c>
      <c r="L41" s="2" t="s">
        <v>16</v>
      </c>
      <c r="M41" s="2" t="s">
        <v>3</v>
      </c>
      <c r="N41" s="2" t="s">
        <v>11</v>
      </c>
      <c r="O41" s="2" t="s">
        <v>4</v>
      </c>
      <c r="P41" s="2" t="s">
        <v>5</v>
      </c>
      <c r="Q41" s="2" t="s">
        <v>24</v>
      </c>
      <c r="R41" s="2" t="s">
        <v>25</v>
      </c>
      <c r="S41" s="2" t="s">
        <v>26</v>
      </c>
      <c r="T41" s="2" t="s">
        <v>27</v>
      </c>
      <c r="U41" s="2" t="s">
        <v>6</v>
      </c>
      <c r="V41" s="2" t="s">
        <v>7</v>
      </c>
      <c r="W41" s="2" t="s">
        <v>28</v>
      </c>
      <c r="X41" s="2" t="s">
        <v>29</v>
      </c>
      <c r="Y41" s="2" t="s">
        <v>30</v>
      </c>
      <c r="Z41" s="2" t="s">
        <v>31</v>
      </c>
      <c r="AA41" s="3" t="s">
        <v>8</v>
      </c>
      <c r="AB41" s="3" t="s">
        <v>9</v>
      </c>
    </row>
    <row r="42" spans="1:28" s="20" customFormat="1" x14ac:dyDescent="0.3">
      <c r="B42" s="4"/>
      <c r="C42" s="35"/>
      <c r="D42" s="5"/>
      <c r="E42" s="5"/>
      <c r="F42" s="5"/>
      <c r="G42" s="5"/>
      <c r="H42" s="5"/>
      <c r="I42" s="5"/>
      <c r="J42" s="5"/>
      <c r="K42" s="5"/>
      <c r="L42" s="4"/>
      <c r="M42" s="4"/>
      <c r="N42" s="4"/>
      <c r="O42" s="6"/>
      <c r="P42" s="7"/>
      <c r="Q42" s="8"/>
      <c r="R42" s="8"/>
      <c r="S42" s="8"/>
      <c r="T42" s="9"/>
      <c r="U42" s="9"/>
      <c r="V42" s="10"/>
      <c r="W42" s="36"/>
      <c r="X42" s="36" t="s">
        <v>0</v>
      </c>
      <c r="Y42" s="36"/>
      <c r="Z42" s="36"/>
      <c r="AA42" s="36"/>
      <c r="AB42" s="36"/>
    </row>
    <row r="43" spans="1:28" s="20" customFormat="1" x14ac:dyDescent="0.3">
      <c r="B43" s="4"/>
      <c r="C43" s="31"/>
      <c r="D43" s="5"/>
      <c r="E43" s="5"/>
      <c r="F43" s="5"/>
      <c r="G43" s="5"/>
      <c r="H43" s="5"/>
      <c r="I43" s="5"/>
      <c r="J43" s="5"/>
      <c r="K43" s="5"/>
      <c r="L43" s="4"/>
      <c r="M43" s="4"/>
      <c r="N43" s="4"/>
      <c r="O43" s="6"/>
      <c r="P43" s="7"/>
      <c r="Q43" s="8"/>
      <c r="R43" s="8"/>
      <c r="S43" s="8"/>
      <c r="T43" s="9"/>
      <c r="U43" s="9"/>
      <c r="V43" s="10"/>
      <c r="W43" s="36"/>
      <c r="X43" s="36"/>
      <c r="Y43" s="36"/>
      <c r="Z43" s="36"/>
      <c r="AA43" s="36"/>
      <c r="AB43" s="36"/>
    </row>
    <row r="44" spans="1:28" s="20" customFormat="1" x14ac:dyDescent="0.3">
      <c r="B44" s="4"/>
      <c r="C44" s="31"/>
      <c r="D44" s="5"/>
      <c r="E44" s="5"/>
      <c r="F44" s="5"/>
      <c r="G44" s="5"/>
      <c r="H44" s="5"/>
      <c r="I44" s="5"/>
      <c r="J44" s="5"/>
      <c r="K44" s="5"/>
      <c r="L44" s="4"/>
      <c r="M44" s="4"/>
      <c r="N44" s="4"/>
      <c r="O44" s="6"/>
      <c r="P44" s="7"/>
      <c r="Q44" s="8"/>
      <c r="R44" s="8"/>
      <c r="S44" s="8"/>
      <c r="T44" s="9"/>
      <c r="U44" s="9"/>
      <c r="V44" s="10"/>
      <c r="W44" s="36"/>
      <c r="X44" s="36"/>
      <c r="Y44" s="36"/>
      <c r="Z44" s="36"/>
      <c r="AA44" s="36"/>
      <c r="AB44" s="36"/>
    </row>
    <row r="45" spans="1:28" s="20" customFormat="1" x14ac:dyDescent="0.3">
      <c r="B45" s="11"/>
      <c r="C45" s="31"/>
      <c r="D45" s="12"/>
      <c r="E45" s="12"/>
      <c r="F45" s="12"/>
      <c r="G45" s="12"/>
      <c r="H45" s="12"/>
      <c r="I45" s="12"/>
      <c r="J45" s="12"/>
      <c r="K45" s="12"/>
      <c r="L45" s="11"/>
      <c r="M45" s="11"/>
      <c r="N45" s="11"/>
      <c r="O45" s="37"/>
      <c r="P45" s="13"/>
      <c r="Q45" s="14"/>
      <c r="R45" s="14"/>
      <c r="S45" s="14"/>
      <c r="T45" s="38"/>
      <c r="U45" s="38"/>
      <c r="V45" s="15"/>
      <c r="W45" s="39"/>
      <c r="X45" s="39"/>
      <c r="Y45" s="39"/>
      <c r="Z45" s="39"/>
      <c r="AA45" s="39"/>
      <c r="AB45" s="39"/>
    </row>
    <row r="46" spans="1:28" s="20" customFormat="1" x14ac:dyDescent="0.3">
      <c r="B46" s="11"/>
      <c r="C46" s="31"/>
      <c r="D46" s="12"/>
      <c r="E46" s="12"/>
      <c r="F46" s="12"/>
      <c r="G46" s="12"/>
      <c r="H46" s="12"/>
      <c r="I46" s="12"/>
      <c r="J46" s="12"/>
      <c r="K46" s="12"/>
      <c r="L46" s="11"/>
      <c r="M46" s="11"/>
      <c r="N46" s="11"/>
      <c r="O46" s="37"/>
      <c r="P46" s="13"/>
      <c r="Q46" s="14"/>
      <c r="R46" s="14"/>
      <c r="S46" s="14"/>
      <c r="T46" s="38"/>
      <c r="U46" s="38"/>
      <c r="V46" s="16"/>
      <c r="W46" s="39"/>
      <c r="X46" s="39"/>
      <c r="Y46" s="39"/>
      <c r="Z46" s="39"/>
      <c r="AA46" s="39"/>
      <c r="AB46" s="39"/>
    </row>
    <row r="47" spans="1:28" s="20" customFormat="1" x14ac:dyDescent="0.3">
      <c r="B47" s="11"/>
      <c r="C47" s="31"/>
      <c r="D47" s="12"/>
      <c r="E47" s="12"/>
      <c r="F47" s="12"/>
      <c r="G47" s="12"/>
      <c r="H47" s="12"/>
      <c r="I47" s="12"/>
      <c r="J47" s="12"/>
      <c r="K47" s="12"/>
      <c r="L47" s="11"/>
      <c r="M47" s="11"/>
      <c r="N47" s="11"/>
      <c r="O47" s="37"/>
      <c r="P47" s="13"/>
      <c r="Q47" s="14"/>
      <c r="R47" s="14"/>
      <c r="S47" s="14"/>
      <c r="T47" s="38"/>
      <c r="U47" s="38"/>
      <c r="V47" s="16"/>
      <c r="W47" s="39"/>
      <c r="X47" s="39"/>
      <c r="Y47" s="39"/>
      <c r="Z47" s="39"/>
      <c r="AA47" s="39"/>
      <c r="AB47" s="39"/>
    </row>
    <row r="48" spans="1:28" s="20" customFormat="1" ht="12" x14ac:dyDescent="0.3">
      <c r="W48" s="34"/>
    </row>
    <row r="49" spans="23:37" s="20" customFormat="1" ht="12" x14ac:dyDescent="0.3">
      <c r="W49" s="34"/>
    </row>
    <row r="50" spans="23:37" s="20" customFormat="1" ht="12" x14ac:dyDescent="0.3">
      <c r="W50" s="34"/>
    </row>
    <row r="51" spans="23:37" s="20" customFormat="1" ht="12" x14ac:dyDescent="0.3">
      <c r="W51" s="34"/>
    </row>
    <row r="52" spans="23:37" s="20" customFormat="1" ht="12" x14ac:dyDescent="0.3">
      <c r="W52" s="34"/>
    </row>
    <row r="53" spans="23:37" s="20" customFormat="1" ht="12" x14ac:dyDescent="0.3">
      <c r="W53" s="34"/>
    </row>
    <row r="54" spans="23:37" s="20" customFormat="1" ht="12" x14ac:dyDescent="0.3">
      <c r="W54" s="34"/>
    </row>
    <row r="55" spans="23:37" s="20" customFormat="1" ht="12" x14ac:dyDescent="0.3">
      <c r="W55" s="34"/>
    </row>
    <row r="56" spans="23:37" s="20" customFormat="1" ht="12" x14ac:dyDescent="0.3">
      <c r="W56" s="34"/>
    </row>
    <row r="57" spans="23:37" s="20" customFormat="1" x14ac:dyDescent="0.35">
      <c r="W57" s="34"/>
      <c r="AG57"/>
      <c r="AH57"/>
      <c r="AI57"/>
      <c r="AJ57"/>
      <c r="AK57"/>
    </row>
    <row r="58" spans="23:37" s="20" customFormat="1" x14ac:dyDescent="0.35">
      <c r="W58" s="34"/>
      <c r="AG58"/>
      <c r="AH58"/>
      <c r="AI58"/>
      <c r="AJ58"/>
      <c r="AK58"/>
    </row>
    <row r="59" spans="23:37" s="20" customFormat="1" x14ac:dyDescent="0.35">
      <c r="W59" s="34"/>
      <c r="AG59"/>
      <c r="AH59"/>
      <c r="AI59"/>
      <c r="AJ59"/>
      <c r="AK59"/>
    </row>
    <row r="60" spans="23:37" s="20" customFormat="1" x14ac:dyDescent="0.35">
      <c r="W60" s="34"/>
      <c r="AG60"/>
      <c r="AH60"/>
      <c r="AI60"/>
      <c r="AJ60"/>
      <c r="AK60"/>
    </row>
  </sheetData>
  <autoFilter ref="B9:AD37"/>
  <mergeCells count="3">
    <mergeCell ref="C4:E4"/>
    <mergeCell ref="C5:D5"/>
    <mergeCell ref="C6:D6"/>
  </mergeCells>
  <pageMargins left="0.7" right="0.7" top="0.75" bottom="0.75" header="0.3" footer="0.3"/>
  <pageSetup paperSize="9" scale="2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77"/>
  <sheetViews>
    <sheetView topLeftCell="T46" zoomScaleNormal="100" workbookViewId="0">
      <selection activeCell="X52" sqref="X52"/>
    </sheetView>
  </sheetViews>
  <sheetFormatPr defaultColWidth="11.453125" defaultRowHeight="14.5" x14ac:dyDescent="0.35"/>
  <cols>
    <col min="1" max="1" width="6.81640625" customWidth="1"/>
    <col min="2" max="2" width="22.26953125" style="20" customWidth="1"/>
    <col min="3" max="3" width="13.54296875" customWidth="1"/>
    <col min="4" max="4" width="13.54296875" style="20" customWidth="1"/>
    <col min="5" max="15" width="25.54296875" customWidth="1"/>
    <col min="16" max="16" width="18.81640625" customWidth="1"/>
    <col min="17" max="17" width="19.54296875" customWidth="1"/>
    <col min="18" max="18" width="15.453125" customWidth="1"/>
    <col min="19" max="22" width="25.54296875" customWidth="1"/>
    <col min="23" max="23" width="22.1796875" style="21" customWidth="1"/>
    <col min="24" max="24" width="29.453125" customWidth="1"/>
    <col min="25" max="30" width="25.54296875" customWidth="1"/>
  </cols>
  <sheetData>
    <row r="2" spans="2:28" ht="18.5" x14ac:dyDescent="0.45">
      <c r="B2" s="18" t="s">
        <v>13</v>
      </c>
      <c r="C2" s="1"/>
    </row>
    <row r="3" spans="2:28" x14ac:dyDescent="0.35">
      <c r="B3" s="22"/>
      <c r="C3" s="23"/>
      <c r="F3" s="23"/>
      <c r="Q3" s="23"/>
      <c r="R3" s="23"/>
      <c r="S3" s="23"/>
    </row>
    <row r="4" spans="2:28" ht="15.5" x14ac:dyDescent="0.35">
      <c r="B4" s="24" t="s">
        <v>12</v>
      </c>
      <c r="C4" s="423" t="s">
        <v>33</v>
      </c>
      <c r="D4" s="424"/>
      <c r="E4" s="428"/>
      <c r="Q4" s="23"/>
      <c r="R4" s="23"/>
      <c r="S4" s="23"/>
    </row>
    <row r="5" spans="2:28" ht="15.5" x14ac:dyDescent="0.35">
      <c r="B5" s="24" t="s">
        <v>20</v>
      </c>
      <c r="C5" s="423" t="s">
        <v>289</v>
      </c>
      <c r="D5" s="424" t="s">
        <v>34</v>
      </c>
      <c r="E5" s="49"/>
      <c r="Q5" s="23"/>
      <c r="R5" s="23"/>
      <c r="S5" s="23"/>
    </row>
    <row r="6" spans="2:28" ht="15.5" x14ac:dyDescent="0.35">
      <c r="B6" s="25" t="s">
        <v>19</v>
      </c>
      <c r="C6" s="423" t="s">
        <v>290</v>
      </c>
      <c r="D6" s="424"/>
      <c r="E6" s="49"/>
      <c r="Q6" s="23"/>
      <c r="R6" s="23"/>
      <c r="S6" s="23"/>
    </row>
    <row r="7" spans="2:28" ht="15.5" x14ac:dyDescent="0.35">
      <c r="B7" s="24" t="s">
        <v>32</v>
      </c>
      <c r="C7" s="47">
        <v>45629</v>
      </c>
      <c r="D7" s="48"/>
      <c r="E7" s="50"/>
    </row>
    <row r="8" spans="2:28" ht="15" thickBot="1" x14ac:dyDescent="0.4">
      <c r="B8" s="29"/>
      <c r="G8" s="27"/>
      <c r="N8" s="26"/>
      <c r="O8" s="30"/>
      <c r="P8" s="26"/>
      <c r="Q8" s="28"/>
    </row>
    <row r="9" spans="2:28" ht="33.75" customHeight="1" x14ac:dyDescent="0.35">
      <c r="B9" s="406" t="s">
        <v>344</v>
      </c>
      <c r="C9" s="406" t="s">
        <v>2</v>
      </c>
      <c r="D9" s="406" t="s">
        <v>21</v>
      </c>
      <c r="E9" s="406" t="s">
        <v>1</v>
      </c>
      <c r="F9" s="406" t="s">
        <v>590</v>
      </c>
      <c r="G9" s="406" t="s">
        <v>14</v>
      </c>
      <c r="H9" s="406" t="s">
        <v>18</v>
      </c>
      <c r="I9" s="406" t="s">
        <v>15</v>
      </c>
      <c r="J9" s="406" t="s">
        <v>10</v>
      </c>
      <c r="K9" s="406" t="s">
        <v>23</v>
      </c>
      <c r="L9" s="406" t="s">
        <v>16</v>
      </c>
      <c r="M9" s="406" t="s">
        <v>3</v>
      </c>
      <c r="N9" s="406" t="s">
        <v>11</v>
      </c>
      <c r="O9" s="406" t="s">
        <v>4</v>
      </c>
      <c r="P9" s="406" t="s">
        <v>5</v>
      </c>
      <c r="Q9" s="406" t="s">
        <v>24</v>
      </c>
      <c r="R9" s="406" t="s">
        <v>25</v>
      </c>
      <c r="S9" s="406" t="s">
        <v>26</v>
      </c>
      <c r="T9" s="406" t="s">
        <v>27</v>
      </c>
      <c r="U9" s="406" t="s">
        <v>6</v>
      </c>
      <c r="V9" s="406" t="s">
        <v>7</v>
      </c>
      <c r="W9" s="19" t="s">
        <v>28</v>
      </c>
      <c r="X9" s="19" t="s">
        <v>29</v>
      </c>
      <c r="Y9" s="19" t="s">
        <v>30</v>
      </c>
      <c r="Z9" s="19" t="s">
        <v>31</v>
      </c>
      <c r="AA9" s="57" t="s">
        <v>8</v>
      </c>
      <c r="AB9" s="57" t="s">
        <v>9</v>
      </c>
    </row>
    <row r="10" spans="2:28" ht="16.5" customHeight="1" x14ac:dyDescent="0.35">
      <c r="B10" s="115" t="s">
        <v>36</v>
      </c>
      <c r="C10" s="407"/>
      <c r="D10" s="408">
        <v>27866.67</v>
      </c>
      <c r="E10" s="409">
        <v>1330.8941176470589</v>
      </c>
      <c r="F10" s="408">
        <v>20042.330000000002</v>
      </c>
      <c r="G10" s="408" t="s">
        <v>291</v>
      </c>
      <c r="H10" s="408">
        <v>3422.0714285714284</v>
      </c>
      <c r="I10" s="408">
        <v>3422.0714285714284</v>
      </c>
      <c r="J10" s="408">
        <v>49239.894117647062</v>
      </c>
      <c r="K10" s="408">
        <v>64996.660235294126</v>
      </c>
      <c r="L10" s="115"/>
      <c r="M10" s="409">
        <v>100</v>
      </c>
      <c r="N10" s="115"/>
      <c r="O10" s="409" t="s">
        <v>292</v>
      </c>
      <c r="P10" s="409">
        <v>0</v>
      </c>
      <c r="Q10" s="410">
        <v>1</v>
      </c>
      <c r="R10" s="411">
        <v>1</v>
      </c>
      <c r="S10" s="409">
        <v>0</v>
      </c>
      <c r="T10" s="412" t="s">
        <v>293</v>
      </c>
      <c r="U10" s="413" t="s">
        <v>294</v>
      </c>
      <c r="V10" s="115" t="s">
        <v>295</v>
      </c>
      <c r="W10" s="261"/>
      <c r="X10" s="261" t="s">
        <v>0</v>
      </c>
      <c r="Y10" s="261"/>
      <c r="Z10" s="261"/>
      <c r="AA10" s="261"/>
      <c r="AB10" s="261"/>
    </row>
    <row r="11" spans="2:28" ht="16.5" customHeight="1" x14ac:dyDescent="0.35">
      <c r="B11" s="115" t="s">
        <v>36</v>
      </c>
      <c r="C11" s="407"/>
      <c r="D11" s="408">
        <v>24373.77</v>
      </c>
      <c r="E11" s="409">
        <v>1330.8941176470589</v>
      </c>
      <c r="F11" s="408">
        <v>12334.23</v>
      </c>
      <c r="G11" s="408" t="s">
        <v>291</v>
      </c>
      <c r="H11" s="408">
        <v>2622</v>
      </c>
      <c r="I11" s="408">
        <v>2622</v>
      </c>
      <c r="J11" s="408">
        <v>38038.894117647062</v>
      </c>
      <c r="K11" s="408">
        <v>50211.340235294127</v>
      </c>
      <c r="L11" s="115"/>
      <c r="M11" s="409">
        <v>100</v>
      </c>
      <c r="N11" s="115"/>
      <c r="O11" s="409" t="s">
        <v>292</v>
      </c>
      <c r="P11" s="409">
        <v>0</v>
      </c>
      <c r="Q11" s="410">
        <v>1</v>
      </c>
      <c r="R11" s="411">
        <v>1</v>
      </c>
      <c r="S11" s="409">
        <v>0</v>
      </c>
      <c r="T11" s="412" t="s">
        <v>296</v>
      </c>
      <c r="U11" s="413" t="s">
        <v>54</v>
      </c>
      <c r="V11" s="115" t="s">
        <v>295</v>
      </c>
      <c r="W11" s="261"/>
      <c r="X11" s="261"/>
      <c r="Y11" s="261"/>
      <c r="Z11" s="261"/>
      <c r="AA11" s="261"/>
      <c r="AB11" s="261"/>
    </row>
    <row r="12" spans="2:28" ht="24" x14ac:dyDescent="0.35">
      <c r="B12" s="115" t="s">
        <v>36</v>
      </c>
      <c r="C12" s="407"/>
      <c r="D12" s="408">
        <v>27929.84</v>
      </c>
      <c r="E12" s="409">
        <v>28577.120000000003</v>
      </c>
      <c r="F12" s="408">
        <v>47640.160000000003</v>
      </c>
      <c r="G12" s="408" t="s">
        <v>297</v>
      </c>
      <c r="H12" s="408">
        <v>5397.8571428571431</v>
      </c>
      <c r="I12" s="408">
        <v>5397.8571428571431</v>
      </c>
      <c r="J12" s="408">
        <v>104147.12</v>
      </c>
      <c r="K12" s="408">
        <v>122247.12</v>
      </c>
      <c r="L12" s="115" t="s">
        <v>298</v>
      </c>
      <c r="M12" s="409">
        <v>100</v>
      </c>
      <c r="N12" s="115"/>
      <c r="O12" s="409" t="s">
        <v>299</v>
      </c>
      <c r="P12" s="409">
        <v>0</v>
      </c>
      <c r="Q12" s="410">
        <v>1</v>
      </c>
      <c r="R12" s="411">
        <v>1</v>
      </c>
      <c r="S12" s="409">
        <v>0</v>
      </c>
      <c r="T12" s="412" t="s">
        <v>300</v>
      </c>
      <c r="U12" s="413" t="s">
        <v>51</v>
      </c>
      <c r="V12" s="115" t="s">
        <v>295</v>
      </c>
      <c r="W12" s="261"/>
      <c r="X12" s="261"/>
      <c r="Y12" s="261"/>
      <c r="Z12" s="261"/>
      <c r="AA12" s="261"/>
      <c r="AB12" s="261"/>
    </row>
    <row r="13" spans="2:28" ht="24" x14ac:dyDescent="0.35">
      <c r="B13" s="115" t="s">
        <v>36</v>
      </c>
      <c r="C13" s="407"/>
      <c r="D13" s="408">
        <v>27850.579999999998</v>
      </c>
      <c r="E13" s="409">
        <v>14470</v>
      </c>
      <c r="F13" s="408">
        <v>30029.420000000002</v>
      </c>
      <c r="G13" s="408" t="s">
        <v>297</v>
      </c>
      <c r="H13" s="408">
        <v>4134.2857142857147</v>
      </c>
      <c r="I13" s="408">
        <v>4134.2857142857147</v>
      </c>
      <c r="J13" s="408">
        <v>72350</v>
      </c>
      <c r="K13" s="408">
        <v>90450</v>
      </c>
      <c r="L13" s="115" t="s">
        <v>298</v>
      </c>
      <c r="M13" s="409">
        <v>100</v>
      </c>
      <c r="N13" s="115"/>
      <c r="O13" s="409" t="s">
        <v>156</v>
      </c>
      <c r="P13" s="409">
        <v>0</v>
      </c>
      <c r="Q13" s="410">
        <v>1</v>
      </c>
      <c r="R13" s="411">
        <v>1</v>
      </c>
      <c r="S13" s="409">
        <v>0</v>
      </c>
      <c r="T13" s="412" t="s">
        <v>301</v>
      </c>
      <c r="U13" s="413" t="s">
        <v>51</v>
      </c>
      <c r="V13" s="115" t="s">
        <v>295</v>
      </c>
      <c r="W13" s="261"/>
      <c r="X13" s="261"/>
      <c r="Y13" s="261"/>
      <c r="Z13" s="261"/>
      <c r="AA13" s="261"/>
      <c r="AB13" s="261"/>
    </row>
    <row r="14" spans="2:28" ht="16.5" customHeight="1" x14ac:dyDescent="0.35">
      <c r="B14" s="115" t="s">
        <v>36</v>
      </c>
      <c r="C14" s="407"/>
      <c r="D14" s="408">
        <v>18969.240000000002</v>
      </c>
      <c r="E14" s="409">
        <v>1330.8941176470589</v>
      </c>
      <c r="F14" s="408">
        <v>8907.7599999999984</v>
      </c>
      <c r="G14" s="408" t="s">
        <v>291</v>
      </c>
      <c r="H14" s="408">
        <v>1991.2142857142858</v>
      </c>
      <c r="I14" s="408">
        <v>1991.2142857142858</v>
      </c>
      <c r="J14" s="408">
        <v>29207.894117647058</v>
      </c>
      <c r="K14" s="408">
        <v>38554.420235294121</v>
      </c>
      <c r="L14" s="115"/>
      <c r="M14" s="409">
        <v>189</v>
      </c>
      <c r="N14" s="115"/>
      <c r="O14" s="409" t="s">
        <v>302</v>
      </c>
      <c r="P14" s="409">
        <v>0</v>
      </c>
      <c r="Q14" s="410">
        <v>1</v>
      </c>
      <c r="R14" s="411">
        <v>1</v>
      </c>
      <c r="S14" s="409">
        <v>0</v>
      </c>
      <c r="T14" s="412" t="s">
        <v>293</v>
      </c>
      <c r="U14" s="413" t="s">
        <v>101</v>
      </c>
      <c r="V14" s="115" t="s">
        <v>295</v>
      </c>
      <c r="W14" s="261"/>
      <c r="X14" s="261"/>
      <c r="Y14" s="261"/>
      <c r="Z14" s="261"/>
      <c r="AA14" s="261"/>
      <c r="AB14" s="261"/>
    </row>
    <row r="15" spans="2:28" ht="24" x14ac:dyDescent="0.35">
      <c r="B15" s="115" t="s">
        <v>36</v>
      </c>
      <c r="C15" s="407"/>
      <c r="D15" s="408">
        <v>30102.78</v>
      </c>
      <c r="E15" s="409">
        <v>31007.600000000002</v>
      </c>
      <c r="F15" s="408">
        <v>53941.22</v>
      </c>
      <c r="G15" s="408" t="s">
        <v>297</v>
      </c>
      <c r="H15" s="408">
        <v>6003.1428571428569</v>
      </c>
      <c r="I15" s="408">
        <v>6003.1428571428569</v>
      </c>
      <c r="J15" s="408">
        <v>115051.6</v>
      </c>
      <c r="K15" s="408">
        <v>133151.6</v>
      </c>
      <c r="L15" s="115" t="s">
        <v>298</v>
      </c>
      <c r="M15" s="409">
        <v>100</v>
      </c>
      <c r="N15" s="115"/>
      <c r="O15" s="409" t="s">
        <v>303</v>
      </c>
      <c r="P15" s="409">
        <v>0</v>
      </c>
      <c r="Q15" s="410">
        <v>1</v>
      </c>
      <c r="R15" s="411">
        <v>1</v>
      </c>
      <c r="S15" s="409">
        <v>0</v>
      </c>
      <c r="T15" s="412" t="s">
        <v>304</v>
      </c>
      <c r="U15" s="413" t="s">
        <v>128</v>
      </c>
      <c r="V15" s="115" t="s">
        <v>295</v>
      </c>
      <c r="W15" s="261"/>
      <c r="X15" s="261"/>
      <c r="Y15" s="261"/>
      <c r="Z15" s="261"/>
      <c r="AA15" s="261"/>
      <c r="AB15" s="261"/>
    </row>
    <row r="16" spans="2:28" x14ac:dyDescent="0.35">
      <c r="B16" s="115" t="s">
        <v>36</v>
      </c>
      <c r="C16" s="407"/>
      <c r="D16" s="408">
        <v>23664.34</v>
      </c>
      <c r="E16" s="409">
        <v>1330.8941176470589</v>
      </c>
      <c r="F16" s="408">
        <v>1335.6599999999999</v>
      </c>
      <c r="G16" s="408" t="s">
        <v>291</v>
      </c>
      <c r="H16" s="408">
        <v>1785.7142857142858</v>
      </c>
      <c r="I16" s="408">
        <v>1785.7142857142858</v>
      </c>
      <c r="J16" s="408">
        <v>26330.894117647058</v>
      </c>
      <c r="K16" s="408">
        <v>34756.780235294122</v>
      </c>
      <c r="L16" s="408"/>
      <c r="M16" s="409">
        <v>410</v>
      </c>
      <c r="N16" s="115"/>
      <c r="O16" s="409" t="s">
        <v>305</v>
      </c>
      <c r="P16" s="409">
        <v>0</v>
      </c>
      <c r="Q16" s="410">
        <v>1</v>
      </c>
      <c r="R16" s="411">
        <v>1</v>
      </c>
      <c r="S16" s="409">
        <v>0</v>
      </c>
      <c r="T16" s="412" t="s">
        <v>296</v>
      </c>
      <c r="U16" s="413" t="s">
        <v>72</v>
      </c>
      <c r="V16" s="115" t="s">
        <v>295</v>
      </c>
      <c r="W16" s="261"/>
      <c r="X16" s="261"/>
      <c r="Y16" s="261"/>
      <c r="Z16" s="261"/>
      <c r="AA16" s="261"/>
      <c r="AB16" s="261"/>
    </row>
    <row r="17" spans="2:28" ht="36" x14ac:dyDescent="0.35">
      <c r="B17" s="115" t="s">
        <v>43</v>
      </c>
      <c r="C17" s="407"/>
      <c r="D17" s="408">
        <v>19320.559999999998</v>
      </c>
      <c r="E17" s="409">
        <v>3987.3947527749742</v>
      </c>
      <c r="F17" s="408">
        <v>0</v>
      </c>
      <c r="G17" s="408" t="s">
        <v>37</v>
      </c>
      <c r="H17" s="408">
        <v>1332.4524137931032</v>
      </c>
      <c r="I17" s="408">
        <v>1332.4524137931032</v>
      </c>
      <c r="J17" s="408">
        <v>23307.954752774971</v>
      </c>
      <c r="K17" s="408">
        <v>30766.500273662965</v>
      </c>
      <c r="L17" s="408" t="s">
        <v>38</v>
      </c>
      <c r="M17" s="409">
        <v>410</v>
      </c>
      <c r="N17" s="115"/>
      <c r="O17" s="409" t="s">
        <v>288</v>
      </c>
      <c r="P17" s="409">
        <v>0</v>
      </c>
      <c r="Q17" s="410">
        <v>1</v>
      </c>
      <c r="R17" s="411">
        <v>1</v>
      </c>
      <c r="S17" s="409">
        <v>0</v>
      </c>
      <c r="T17" s="412" t="s">
        <v>40</v>
      </c>
      <c r="U17" s="413" t="s">
        <v>41</v>
      </c>
      <c r="V17" s="115" t="s">
        <v>295</v>
      </c>
      <c r="W17" s="261"/>
      <c r="X17" s="261"/>
      <c r="Y17" s="261"/>
      <c r="Z17" s="261"/>
      <c r="AA17" s="261"/>
      <c r="AB17" s="261"/>
    </row>
    <row r="18" spans="2:28" ht="36" x14ac:dyDescent="0.35">
      <c r="B18" s="115" t="s">
        <v>43</v>
      </c>
      <c r="C18" s="407"/>
      <c r="D18" s="408">
        <v>20840.329999999998</v>
      </c>
      <c r="E18" s="409">
        <v>3987.3947527749742</v>
      </c>
      <c r="F18" s="408">
        <v>2736.2860500000024</v>
      </c>
      <c r="G18" s="408" t="s">
        <v>37</v>
      </c>
      <c r="H18" s="408">
        <v>1625.9735206896553</v>
      </c>
      <c r="I18" s="408">
        <v>1625.9735206896553</v>
      </c>
      <c r="J18" s="408">
        <v>27564.010802774974</v>
      </c>
      <c r="K18" s="408">
        <v>36384.49425966297</v>
      </c>
      <c r="L18" s="408" t="s">
        <v>38</v>
      </c>
      <c r="M18" s="409">
        <v>100</v>
      </c>
      <c r="N18" s="414"/>
      <c r="O18" s="409" t="s">
        <v>181</v>
      </c>
      <c r="P18" s="409">
        <v>0</v>
      </c>
      <c r="Q18" s="410">
        <v>1</v>
      </c>
      <c r="R18" s="411">
        <v>1</v>
      </c>
      <c r="S18" s="409">
        <v>0</v>
      </c>
      <c r="T18" s="412" t="s">
        <v>40</v>
      </c>
      <c r="U18" s="413" t="s">
        <v>41</v>
      </c>
      <c r="V18" s="115" t="s">
        <v>295</v>
      </c>
      <c r="W18" s="261"/>
      <c r="X18" s="261"/>
      <c r="Y18" s="261"/>
      <c r="Z18" s="261"/>
      <c r="AA18" s="261"/>
      <c r="AB18" s="261"/>
    </row>
    <row r="19" spans="2:28" ht="36" x14ac:dyDescent="0.35">
      <c r="B19" s="115" t="s">
        <v>43</v>
      </c>
      <c r="C19" s="407"/>
      <c r="D19" s="408">
        <v>21003.119999999999</v>
      </c>
      <c r="E19" s="409">
        <v>3987.3947527749742</v>
      </c>
      <c r="F19" s="408">
        <v>2917.4161999999997</v>
      </c>
      <c r="G19" s="408" t="s">
        <v>37</v>
      </c>
      <c r="H19" s="408">
        <v>1649.6921517241378</v>
      </c>
      <c r="I19" s="408">
        <v>1649.6921517241378</v>
      </c>
      <c r="J19" s="408">
        <v>27907.930952774972</v>
      </c>
      <c r="K19" s="408">
        <v>36838.468857662963</v>
      </c>
      <c r="L19" s="408" t="s">
        <v>38</v>
      </c>
      <c r="M19" s="409">
        <v>100</v>
      </c>
      <c r="N19" s="414"/>
      <c r="O19" s="409" t="s">
        <v>306</v>
      </c>
      <c r="P19" s="409">
        <v>0</v>
      </c>
      <c r="Q19" s="410">
        <v>1</v>
      </c>
      <c r="R19" s="411">
        <v>1</v>
      </c>
      <c r="S19" s="409">
        <v>0</v>
      </c>
      <c r="T19" s="412" t="s">
        <v>40</v>
      </c>
      <c r="U19" s="413" t="s">
        <v>41</v>
      </c>
      <c r="V19" s="115" t="s">
        <v>295</v>
      </c>
      <c r="W19" s="261"/>
      <c r="X19" s="261"/>
      <c r="Y19" s="261"/>
      <c r="Z19" s="261"/>
      <c r="AA19" s="261"/>
      <c r="AB19" s="261"/>
    </row>
    <row r="20" spans="2:28" ht="36" x14ac:dyDescent="0.35">
      <c r="B20" s="115" t="s">
        <v>36</v>
      </c>
      <c r="C20" s="407"/>
      <c r="D20" s="408">
        <v>21018.479999999996</v>
      </c>
      <c r="E20" s="409">
        <v>1619.8840465116282</v>
      </c>
      <c r="F20" s="408">
        <v>28946.713400000001</v>
      </c>
      <c r="G20" s="408" t="s">
        <v>37</v>
      </c>
      <c r="H20" s="408">
        <v>3445.8754068965513</v>
      </c>
      <c r="I20" s="408">
        <v>3445.8754068965513</v>
      </c>
      <c r="J20" s="408">
        <v>51585.077446511626</v>
      </c>
      <c r="K20" s="408">
        <v>68092.302229395355</v>
      </c>
      <c r="L20" s="408" t="s">
        <v>38</v>
      </c>
      <c r="M20" s="409">
        <v>100</v>
      </c>
      <c r="N20" s="414"/>
      <c r="O20" s="409" t="s">
        <v>307</v>
      </c>
      <c r="P20" s="409">
        <v>0</v>
      </c>
      <c r="Q20" s="410">
        <v>1</v>
      </c>
      <c r="R20" s="411">
        <v>1</v>
      </c>
      <c r="S20" s="409">
        <v>0</v>
      </c>
      <c r="T20" s="412" t="s">
        <v>308</v>
      </c>
      <c r="U20" s="413" t="s">
        <v>41</v>
      </c>
      <c r="V20" s="115" t="s">
        <v>295</v>
      </c>
      <c r="W20" s="261"/>
      <c r="X20" s="261"/>
      <c r="Y20" s="261"/>
      <c r="Z20" s="261"/>
      <c r="AA20" s="261"/>
      <c r="AB20" s="261"/>
    </row>
    <row r="21" spans="2:28" ht="36" x14ac:dyDescent="0.35">
      <c r="B21" s="115" t="s">
        <v>43</v>
      </c>
      <c r="C21" s="407"/>
      <c r="D21" s="408">
        <v>29239.79</v>
      </c>
      <c r="E21" s="409">
        <v>2823.1609271523184</v>
      </c>
      <c r="F21" s="408">
        <v>8955.2695499999973</v>
      </c>
      <c r="G21" s="408" t="s">
        <v>37</v>
      </c>
      <c r="H21" s="408">
        <v>2634.1420379310343</v>
      </c>
      <c r="I21" s="408">
        <v>2634.1420379310343</v>
      </c>
      <c r="J21" s="408">
        <v>41018.220477152317</v>
      </c>
      <c r="K21" s="408">
        <v>54144.051029841059</v>
      </c>
      <c r="L21" s="408" t="s">
        <v>38</v>
      </c>
      <c r="M21" s="409">
        <v>189</v>
      </c>
      <c r="N21" s="414"/>
      <c r="O21" s="409" t="s">
        <v>309</v>
      </c>
      <c r="P21" s="409">
        <v>0</v>
      </c>
      <c r="Q21" s="410">
        <v>1</v>
      </c>
      <c r="R21" s="411">
        <v>1</v>
      </c>
      <c r="S21" s="409">
        <v>0</v>
      </c>
      <c r="T21" s="412" t="s">
        <v>310</v>
      </c>
      <c r="U21" s="413" t="s">
        <v>294</v>
      </c>
      <c r="V21" s="115" t="s">
        <v>295</v>
      </c>
      <c r="W21" s="261"/>
      <c r="X21" s="261"/>
      <c r="Y21" s="261"/>
      <c r="Z21" s="261"/>
      <c r="AA21" s="261"/>
      <c r="AB21" s="261"/>
    </row>
    <row r="22" spans="2:28" ht="36" x14ac:dyDescent="0.35">
      <c r="B22" s="115" t="s">
        <v>43</v>
      </c>
      <c r="C22" s="407"/>
      <c r="D22" s="408">
        <v>28839.59</v>
      </c>
      <c r="E22" s="409">
        <v>9391.245828503841</v>
      </c>
      <c r="F22" s="408">
        <v>-2282.1739500000003</v>
      </c>
      <c r="G22" s="408" t="s">
        <v>37</v>
      </c>
      <c r="H22" s="408">
        <v>1831.5459344827586</v>
      </c>
      <c r="I22" s="408">
        <v>1831.5459344827586</v>
      </c>
      <c r="J22" s="408">
        <v>35948.661878503844</v>
      </c>
      <c r="K22" s="408">
        <v>47452.233679625075</v>
      </c>
      <c r="L22" s="408" t="s">
        <v>38</v>
      </c>
      <c r="M22" s="409">
        <v>100</v>
      </c>
      <c r="N22" s="414"/>
      <c r="O22" s="409" t="s">
        <v>311</v>
      </c>
      <c r="P22" s="409">
        <v>0</v>
      </c>
      <c r="Q22" s="410">
        <v>1</v>
      </c>
      <c r="R22" s="411">
        <v>1</v>
      </c>
      <c r="S22" s="409">
        <v>0</v>
      </c>
      <c r="T22" s="412" t="s">
        <v>50</v>
      </c>
      <c r="U22" s="413" t="s">
        <v>51</v>
      </c>
      <c r="V22" s="115" t="s">
        <v>295</v>
      </c>
      <c r="W22" s="261"/>
      <c r="X22" s="261"/>
      <c r="Y22" s="261"/>
      <c r="Z22" s="261"/>
      <c r="AA22" s="261"/>
      <c r="AB22" s="261"/>
    </row>
    <row r="23" spans="2:28" ht="36" x14ac:dyDescent="0.35">
      <c r="B23" s="115" t="s">
        <v>43</v>
      </c>
      <c r="C23" s="407"/>
      <c r="D23" s="408">
        <v>19698</v>
      </c>
      <c r="E23" s="409">
        <v>15.600000000000001</v>
      </c>
      <c r="F23" s="408">
        <v>7191.7855999999992</v>
      </c>
      <c r="G23" s="408" t="s">
        <v>37</v>
      </c>
      <c r="H23" s="408">
        <v>1854.4679724137929</v>
      </c>
      <c r="I23" s="408">
        <v>1854.4679724137929</v>
      </c>
      <c r="J23" s="408">
        <v>26905.385599999998</v>
      </c>
      <c r="K23" s="408">
        <v>35515.108992000001</v>
      </c>
      <c r="L23" s="408" t="s">
        <v>38</v>
      </c>
      <c r="M23" s="409">
        <v>100</v>
      </c>
      <c r="N23" s="414"/>
      <c r="O23" s="409" t="s">
        <v>312</v>
      </c>
      <c r="P23" s="409">
        <v>0</v>
      </c>
      <c r="Q23" s="410">
        <v>1</v>
      </c>
      <c r="R23" s="411">
        <v>1</v>
      </c>
      <c r="S23" s="409">
        <v>0</v>
      </c>
      <c r="T23" s="412" t="s">
        <v>313</v>
      </c>
      <c r="U23" s="413" t="s">
        <v>58</v>
      </c>
      <c r="V23" s="115" t="s">
        <v>295</v>
      </c>
      <c r="W23" s="261"/>
      <c r="X23" s="261"/>
      <c r="Y23" s="261"/>
      <c r="Z23" s="261"/>
      <c r="AA23" s="261"/>
      <c r="AB23" s="261"/>
    </row>
    <row r="24" spans="2:28" ht="36" x14ac:dyDescent="0.35">
      <c r="B24" s="115" t="s">
        <v>43</v>
      </c>
      <c r="C24" s="407"/>
      <c r="D24" s="408">
        <v>30032.22</v>
      </c>
      <c r="E24" s="409">
        <v>9391.245828503841</v>
      </c>
      <c r="F24" s="408">
        <v>6827.1203000000023</v>
      </c>
      <c r="G24" s="408" t="s">
        <v>37</v>
      </c>
      <c r="H24" s="408">
        <v>2542.0234689655176</v>
      </c>
      <c r="I24" s="408">
        <v>2542.0234689655176</v>
      </c>
      <c r="J24" s="408">
        <v>46250.586128503841</v>
      </c>
      <c r="K24" s="408">
        <v>61050.773689625072</v>
      </c>
      <c r="L24" s="408" t="s">
        <v>38</v>
      </c>
      <c r="M24" s="409">
        <v>100</v>
      </c>
      <c r="N24" s="414"/>
      <c r="O24" s="409" t="s">
        <v>314</v>
      </c>
      <c r="P24" s="409">
        <v>0</v>
      </c>
      <c r="Q24" s="410">
        <v>1</v>
      </c>
      <c r="R24" s="411">
        <v>1</v>
      </c>
      <c r="S24" s="409">
        <v>0</v>
      </c>
      <c r="T24" s="412" t="s">
        <v>50</v>
      </c>
      <c r="U24" s="413" t="s">
        <v>51</v>
      </c>
      <c r="V24" s="115" t="s">
        <v>295</v>
      </c>
      <c r="W24" s="261"/>
      <c r="X24" s="261"/>
      <c r="Y24" s="261"/>
      <c r="Z24" s="261"/>
      <c r="AA24" s="261"/>
      <c r="AB24" s="261"/>
    </row>
    <row r="25" spans="2:28" ht="36" x14ac:dyDescent="0.35">
      <c r="B25" s="115" t="s">
        <v>43</v>
      </c>
      <c r="C25" s="407"/>
      <c r="D25" s="408">
        <v>29809.14</v>
      </c>
      <c r="E25" s="409">
        <v>9391.245828503841</v>
      </c>
      <c r="F25" s="408">
        <v>8753.1479000000036</v>
      </c>
      <c r="G25" s="408" t="s">
        <v>37</v>
      </c>
      <c r="H25" s="408">
        <v>2659.4681310344831</v>
      </c>
      <c r="I25" s="408">
        <v>2659.4681310344831</v>
      </c>
      <c r="J25" s="408">
        <v>47953.53372850384</v>
      </c>
      <c r="K25" s="408">
        <v>63298.664521625069</v>
      </c>
      <c r="L25" s="408" t="s">
        <v>38</v>
      </c>
      <c r="M25" s="409">
        <v>100</v>
      </c>
      <c r="N25" s="414"/>
      <c r="O25" s="409" t="s">
        <v>315</v>
      </c>
      <c r="P25" s="409">
        <v>0</v>
      </c>
      <c r="Q25" s="410">
        <v>1</v>
      </c>
      <c r="R25" s="411">
        <v>1</v>
      </c>
      <c r="S25" s="409">
        <v>0</v>
      </c>
      <c r="T25" s="412" t="s">
        <v>50</v>
      </c>
      <c r="U25" s="413" t="s">
        <v>51</v>
      </c>
      <c r="V25" s="115" t="s">
        <v>295</v>
      </c>
      <c r="W25" s="261"/>
      <c r="X25" s="261"/>
      <c r="Y25" s="261"/>
      <c r="Z25" s="261"/>
      <c r="AA25" s="261"/>
      <c r="AB25" s="261"/>
    </row>
    <row r="26" spans="2:28" ht="36" x14ac:dyDescent="0.35">
      <c r="B26" s="115" t="s">
        <v>43</v>
      </c>
      <c r="C26" s="407"/>
      <c r="D26" s="408">
        <v>20926.519999999997</v>
      </c>
      <c r="E26" s="409">
        <v>3987.3947527749742</v>
      </c>
      <c r="F26" s="408">
        <v>2550.3945000000022</v>
      </c>
      <c r="G26" s="408" t="s">
        <v>37</v>
      </c>
      <c r="H26" s="408">
        <v>1619.0975517241379</v>
      </c>
      <c r="I26" s="408">
        <v>1619.0975517241379</v>
      </c>
      <c r="J26" s="408">
        <v>27464.309252774972</v>
      </c>
      <c r="K26" s="408">
        <v>36252.888213662962</v>
      </c>
      <c r="L26" s="408" t="s">
        <v>38</v>
      </c>
      <c r="M26" s="409">
        <v>189</v>
      </c>
      <c r="N26" s="414"/>
      <c r="O26" s="409" t="s">
        <v>316</v>
      </c>
      <c r="P26" s="409">
        <v>0</v>
      </c>
      <c r="Q26" s="410">
        <v>1</v>
      </c>
      <c r="R26" s="411">
        <v>1</v>
      </c>
      <c r="S26" s="409">
        <v>0</v>
      </c>
      <c r="T26" s="412" t="s">
        <v>40</v>
      </c>
      <c r="U26" s="413" t="s">
        <v>41</v>
      </c>
      <c r="V26" s="115" t="s">
        <v>295</v>
      </c>
      <c r="W26" s="261"/>
      <c r="X26" s="261"/>
      <c r="Y26" s="261"/>
      <c r="Z26" s="261"/>
      <c r="AA26" s="261"/>
      <c r="AB26" s="261"/>
    </row>
    <row r="27" spans="2:28" ht="36" x14ac:dyDescent="0.35">
      <c r="B27" s="115" t="s">
        <v>43</v>
      </c>
      <c r="C27" s="407"/>
      <c r="D27" s="408">
        <v>23404.02</v>
      </c>
      <c r="E27" s="409">
        <v>9391.245828503841</v>
      </c>
      <c r="F27" s="408">
        <v>6935.6068999999989</v>
      </c>
      <c r="G27" s="408" t="s">
        <v>37</v>
      </c>
      <c r="H27" s="408">
        <v>2092.3880620689656</v>
      </c>
      <c r="I27" s="408">
        <v>2092.3880620689656</v>
      </c>
      <c r="J27" s="408">
        <v>39730.87272850384</v>
      </c>
      <c r="K27" s="408">
        <v>52444.752001625071</v>
      </c>
      <c r="L27" s="408" t="s">
        <v>38</v>
      </c>
      <c r="M27" s="409">
        <v>200</v>
      </c>
      <c r="N27" s="414"/>
      <c r="O27" s="409" t="s">
        <v>317</v>
      </c>
      <c r="P27" s="409">
        <v>0</v>
      </c>
      <c r="Q27" s="410">
        <v>0.8</v>
      </c>
      <c r="R27" s="411">
        <v>0.8</v>
      </c>
      <c r="S27" s="409">
        <v>0</v>
      </c>
      <c r="T27" s="412" t="s">
        <v>50</v>
      </c>
      <c r="U27" s="413" t="s">
        <v>51</v>
      </c>
      <c r="V27" s="115" t="s">
        <v>295</v>
      </c>
      <c r="W27" s="261"/>
      <c r="X27" s="261"/>
      <c r="Y27" s="261"/>
      <c r="Z27" s="261"/>
      <c r="AA27" s="261"/>
      <c r="AB27" s="261"/>
    </row>
    <row r="28" spans="2:28" ht="36" x14ac:dyDescent="0.35">
      <c r="B28" s="115" t="s">
        <v>43</v>
      </c>
      <c r="C28" s="407"/>
      <c r="D28" s="408">
        <v>30291.379999999997</v>
      </c>
      <c r="E28" s="409">
        <v>9391.245828503841</v>
      </c>
      <c r="F28" s="408">
        <v>10162.142700000004</v>
      </c>
      <c r="G28" s="408" t="s">
        <v>37</v>
      </c>
      <c r="H28" s="408">
        <v>2789.8981172413796</v>
      </c>
      <c r="I28" s="408">
        <v>2789.8981172413796</v>
      </c>
      <c r="J28" s="408">
        <v>49844.768528503846</v>
      </c>
      <c r="K28" s="408">
        <v>65795.094457625077</v>
      </c>
      <c r="L28" s="408" t="s">
        <v>38</v>
      </c>
      <c r="M28" s="409">
        <v>100</v>
      </c>
      <c r="N28" s="414"/>
      <c r="O28" s="409" t="s">
        <v>318</v>
      </c>
      <c r="P28" s="409">
        <v>0</v>
      </c>
      <c r="Q28" s="410">
        <v>1</v>
      </c>
      <c r="R28" s="411">
        <v>1</v>
      </c>
      <c r="S28" s="409">
        <v>0</v>
      </c>
      <c r="T28" s="412" t="s">
        <v>50</v>
      </c>
      <c r="U28" s="413" t="s">
        <v>51</v>
      </c>
      <c r="V28" s="115" t="s">
        <v>295</v>
      </c>
      <c r="W28" s="261"/>
      <c r="X28" s="261"/>
      <c r="Y28" s="261"/>
      <c r="Z28" s="261"/>
      <c r="AA28" s="261"/>
      <c r="AB28" s="261"/>
    </row>
    <row r="29" spans="2:28" ht="36" x14ac:dyDescent="0.35">
      <c r="B29" s="115" t="s">
        <v>43</v>
      </c>
      <c r="C29" s="407"/>
      <c r="D29" s="408">
        <v>31676.92</v>
      </c>
      <c r="E29" s="409">
        <v>9750.1238241235915</v>
      </c>
      <c r="F29" s="408">
        <v>20413.211200000005</v>
      </c>
      <c r="G29" s="408" t="s">
        <v>37</v>
      </c>
      <c r="H29" s="408">
        <v>3592.4228413793107</v>
      </c>
      <c r="I29" s="408">
        <v>3592.4228413793107</v>
      </c>
      <c r="J29" s="408">
        <v>61840.255024123595</v>
      </c>
      <c r="K29" s="408">
        <v>79940.255024123588</v>
      </c>
      <c r="L29" s="408" t="s">
        <v>38</v>
      </c>
      <c r="M29" s="409">
        <v>100</v>
      </c>
      <c r="N29" s="414"/>
      <c r="O29" s="409" t="s">
        <v>319</v>
      </c>
      <c r="P29" s="409">
        <v>0</v>
      </c>
      <c r="Q29" s="410">
        <v>1</v>
      </c>
      <c r="R29" s="411">
        <v>1</v>
      </c>
      <c r="S29" s="409">
        <v>0</v>
      </c>
      <c r="T29" s="412" t="s">
        <v>46</v>
      </c>
      <c r="U29" s="413" t="s">
        <v>47</v>
      </c>
      <c r="V29" s="115" t="s">
        <v>295</v>
      </c>
      <c r="W29" s="261"/>
      <c r="X29" s="261"/>
      <c r="Y29" s="261"/>
      <c r="Z29" s="261"/>
      <c r="AA29" s="261"/>
      <c r="AB29" s="261"/>
    </row>
    <row r="30" spans="2:28" ht="36" x14ac:dyDescent="0.35">
      <c r="B30" s="115" t="s">
        <v>43</v>
      </c>
      <c r="C30" s="407"/>
      <c r="D30" s="408">
        <v>29985.200000000001</v>
      </c>
      <c r="E30" s="409">
        <v>9391.245828503841</v>
      </c>
      <c r="F30" s="408">
        <v>2823.2744999999959</v>
      </c>
      <c r="G30" s="408" t="s">
        <v>37</v>
      </c>
      <c r="H30" s="408">
        <v>2262.653413793103</v>
      </c>
      <c r="I30" s="408">
        <v>2262.653413793103</v>
      </c>
      <c r="J30" s="408">
        <v>42199.720328503841</v>
      </c>
      <c r="K30" s="408">
        <v>55703.630833625073</v>
      </c>
      <c r="L30" s="408" t="s">
        <v>38</v>
      </c>
      <c r="M30" s="409">
        <v>100</v>
      </c>
      <c r="N30" s="414"/>
      <c r="O30" s="409" t="s">
        <v>320</v>
      </c>
      <c r="P30" s="409">
        <v>0</v>
      </c>
      <c r="Q30" s="410">
        <v>1</v>
      </c>
      <c r="R30" s="411">
        <v>1</v>
      </c>
      <c r="S30" s="409">
        <v>0</v>
      </c>
      <c r="T30" s="412" t="s">
        <v>50</v>
      </c>
      <c r="U30" s="413" t="s">
        <v>51</v>
      </c>
      <c r="V30" s="115" t="s">
        <v>295</v>
      </c>
      <c r="W30" s="261"/>
      <c r="X30" s="261"/>
      <c r="Y30" s="261"/>
      <c r="Z30" s="261"/>
      <c r="AA30" s="261"/>
      <c r="AB30" s="261"/>
    </row>
    <row r="31" spans="2:28" ht="36" x14ac:dyDescent="0.35">
      <c r="B31" s="115" t="s">
        <v>43</v>
      </c>
      <c r="C31" s="407"/>
      <c r="D31" s="408">
        <v>29310.77</v>
      </c>
      <c r="E31" s="409">
        <v>9391.245828503841</v>
      </c>
      <c r="F31" s="408">
        <v>7064.8216500000017</v>
      </c>
      <c r="G31" s="408" t="s">
        <v>37</v>
      </c>
      <c r="H31" s="408">
        <v>2508.6614931034483</v>
      </c>
      <c r="I31" s="408">
        <v>2508.6614931034483</v>
      </c>
      <c r="J31" s="408">
        <v>45766.837478503847</v>
      </c>
      <c r="K31" s="408">
        <v>60412.225471625083</v>
      </c>
      <c r="L31" s="408" t="s">
        <v>38</v>
      </c>
      <c r="M31" s="409">
        <v>100</v>
      </c>
      <c r="N31" s="414"/>
      <c r="O31" s="409" t="s">
        <v>321</v>
      </c>
      <c r="P31" s="409">
        <v>0</v>
      </c>
      <c r="Q31" s="410">
        <v>1</v>
      </c>
      <c r="R31" s="411">
        <v>1</v>
      </c>
      <c r="S31" s="409">
        <v>0</v>
      </c>
      <c r="T31" s="412" t="s">
        <v>50</v>
      </c>
      <c r="U31" s="413" t="s">
        <v>51</v>
      </c>
      <c r="V31" s="115" t="s">
        <v>295</v>
      </c>
      <c r="W31" s="261"/>
      <c r="X31" s="261"/>
      <c r="Y31" s="261"/>
      <c r="Z31" s="261"/>
      <c r="AA31" s="261"/>
      <c r="AB31" s="261"/>
    </row>
    <row r="32" spans="2:28" ht="36" x14ac:dyDescent="0.35">
      <c r="B32" s="115" t="s">
        <v>43</v>
      </c>
      <c r="C32" s="407"/>
      <c r="D32" s="408">
        <v>24237.08</v>
      </c>
      <c r="E32" s="409">
        <v>2823.1609271523184</v>
      </c>
      <c r="F32" s="408">
        <v>6018.1322999999975</v>
      </c>
      <c r="G32" s="408" t="s">
        <v>37</v>
      </c>
      <c r="H32" s="408">
        <v>2086.5663655172411</v>
      </c>
      <c r="I32" s="408">
        <v>2086.5663655172411</v>
      </c>
      <c r="J32" s="408">
        <v>33078.373227152319</v>
      </c>
      <c r="K32" s="408">
        <v>43663.452659841059</v>
      </c>
      <c r="L32" s="408" t="s">
        <v>38</v>
      </c>
      <c r="M32" s="409">
        <v>189</v>
      </c>
      <c r="N32" s="414"/>
      <c r="O32" s="409" t="s">
        <v>322</v>
      </c>
      <c r="P32" s="409">
        <v>0</v>
      </c>
      <c r="Q32" s="410">
        <v>1</v>
      </c>
      <c r="R32" s="411">
        <v>1</v>
      </c>
      <c r="S32" s="409">
        <v>0</v>
      </c>
      <c r="T32" s="412" t="s">
        <v>310</v>
      </c>
      <c r="U32" s="413" t="s">
        <v>54</v>
      </c>
      <c r="V32" s="115" t="s">
        <v>295</v>
      </c>
      <c r="W32" s="261"/>
      <c r="X32" s="261"/>
      <c r="Y32" s="261"/>
      <c r="Z32" s="261"/>
      <c r="AA32" s="261"/>
      <c r="AB32" s="261"/>
    </row>
    <row r="33" spans="2:28" ht="36" x14ac:dyDescent="0.35">
      <c r="B33" s="115" t="s">
        <v>43</v>
      </c>
      <c r="C33" s="407"/>
      <c r="D33" s="408">
        <v>27740.3</v>
      </c>
      <c r="E33" s="409">
        <v>9391.245828503841</v>
      </c>
      <c r="F33" s="408">
        <v>8832.4902000000038</v>
      </c>
      <c r="G33" s="408" t="s">
        <v>37</v>
      </c>
      <c r="H33" s="408">
        <v>2522.2613931034484</v>
      </c>
      <c r="I33" s="408">
        <v>2522.2613931034484</v>
      </c>
      <c r="J33" s="408">
        <v>45964.036028503848</v>
      </c>
      <c r="K33" s="408">
        <v>60672.527557625079</v>
      </c>
      <c r="L33" s="408" t="s">
        <v>38</v>
      </c>
      <c r="M33" s="409">
        <v>100</v>
      </c>
      <c r="N33" s="414"/>
      <c r="O33" s="409" t="s">
        <v>323</v>
      </c>
      <c r="P33" s="409">
        <v>0</v>
      </c>
      <c r="Q33" s="410">
        <v>1</v>
      </c>
      <c r="R33" s="411">
        <v>1</v>
      </c>
      <c r="S33" s="409">
        <v>0</v>
      </c>
      <c r="T33" s="412" t="s">
        <v>50</v>
      </c>
      <c r="U33" s="413" t="s">
        <v>51</v>
      </c>
      <c r="V33" s="115" t="s">
        <v>295</v>
      </c>
      <c r="W33" s="261"/>
      <c r="X33" s="261"/>
      <c r="Y33" s="261"/>
      <c r="Z33" s="261"/>
      <c r="AA33" s="261"/>
      <c r="AB33" s="261"/>
    </row>
    <row r="34" spans="2:28" ht="36" x14ac:dyDescent="0.35">
      <c r="B34" s="115" t="s">
        <v>43</v>
      </c>
      <c r="C34" s="407"/>
      <c r="D34" s="408">
        <v>28619.3</v>
      </c>
      <c r="E34" s="409">
        <v>9391.245828503841</v>
      </c>
      <c r="F34" s="408">
        <v>8185.3716000000022</v>
      </c>
      <c r="G34" s="408" t="s">
        <v>37</v>
      </c>
      <c r="H34" s="408">
        <v>2538.2532137931034</v>
      </c>
      <c r="I34" s="408">
        <v>2538.2532137931034</v>
      </c>
      <c r="J34" s="408">
        <v>46195.917428503846</v>
      </c>
      <c r="K34" s="408">
        <v>60978.611005625076</v>
      </c>
      <c r="L34" s="408" t="s">
        <v>38</v>
      </c>
      <c r="M34" s="409">
        <v>189</v>
      </c>
      <c r="N34" s="414"/>
      <c r="O34" s="409" t="s">
        <v>324</v>
      </c>
      <c r="P34" s="409">
        <v>0</v>
      </c>
      <c r="Q34" s="410">
        <v>1</v>
      </c>
      <c r="R34" s="411">
        <v>1</v>
      </c>
      <c r="S34" s="409">
        <v>0</v>
      </c>
      <c r="T34" s="412" t="s">
        <v>50</v>
      </c>
      <c r="U34" s="413" t="s">
        <v>51</v>
      </c>
      <c r="V34" s="115" t="s">
        <v>295</v>
      </c>
      <c r="W34" s="261"/>
      <c r="X34" s="261"/>
      <c r="Y34" s="261"/>
      <c r="Z34" s="261"/>
      <c r="AA34" s="261"/>
      <c r="AB34" s="261"/>
    </row>
    <row r="35" spans="2:28" ht="36" x14ac:dyDescent="0.35">
      <c r="B35" s="115" t="s">
        <v>43</v>
      </c>
      <c r="C35" s="407"/>
      <c r="D35" s="408">
        <v>17872.828399999999</v>
      </c>
      <c r="E35" s="409">
        <v>1619.8840465116282</v>
      </c>
      <c r="F35" s="408">
        <v>1774.9483500000024</v>
      </c>
      <c r="G35" s="408" t="s">
        <v>37</v>
      </c>
      <c r="H35" s="408">
        <v>1355.0190862068966</v>
      </c>
      <c r="I35" s="408">
        <v>1355.0190862068966</v>
      </c>
      <c r="J35" s="408">
        <v>21267.660796511627</v>
      </c>
      <c r="K35" s="408">
        <v>28073.312251395349</v>
      </c>
      <c r="L35" s="408" t="s">
        <v>38</v>
      </c>
      <c r="M35" s="409">
        <v>189</v>
      </c>
      <c r="N35" s="414"/>
      <c r="O35" s="409" t="s">
        <v>325</v>
      </c>
      <c r="P35" s="409">
        <v>0</v>
      </c>
      <c r="Q35" s="410">
        <v>0.89</v>
      </c>
      <c r="R35" s="411">
        <v>0.89</v>
      </c>
      <c r="S35" s="409">
        <v>0</v>
      </c>
      <c r="T35" s="412" t="s">
        <v>65</v>
      </c>
      <c r="U35" s="413" t="s">
        <v>41</v>
      </c>
      <c r="V35" s="115" t="s">
        <v>295</v>
      </c>
      <c r="W35" s="261"/>
      <c r="X35" s="261"/>
      <c r="Y35" s="261"/>
      <c r="Z35" s="261"/>
      <c r="AA35" s="261"/>
      <c r="AB35" s="261"/>
    </row>
    <row r="36" spans="2:28" ht="36" x14ac:dyDescent="0.35">
      <c r="B36" s="115" t="s">
        <v>43</v>
      </c>
      <c r="C36" s="407"/>
      <c r="D36" s="408">
        <v>20397.649999999998</v>
      </c>
      <c r="E36" s="409">
        <v>9391.245828503841</v>
      </c>
      <c r="F36" s="408">
        <v>3651.9714000000022</v>
      </c>
      <c r="G36" s="408" t="s">
        <v>37</v>
      </c>
      <c r="H36" s="408">
        <v>1658.5945793103449</v>
      </c>
      <c r="I36" s="408">
        <v>1658.5945793103449</v>
      </c>
      <c r="J36" s="408">
        <v>33440.867228503841</v>
      </c>
      <c r="K36" s="408">
        <v>44141.94474162507</v>
      </c>
      <c r="L36" s="408" t="s">
        <v>38</v>
      </c>
      <c r="M36" s="409">
        <v>100</v>
      </c>
      <c r="N36" s="414"/>
      <c r="O36" s="409" t="s">
        <v>326</v>
      </c>
      <c r="P36" s="409">
        <v>0</v>
      </c>
      <c r="Q36" s="410">
        <v>0.7</v>
      </c>
      <c r="R36" s="411">
        <v>0.7</v>
      </c>
      <c r="S36" s="409">
        <v>0</v>
      </c>
      <c r="T36" s="412" t="s">
        <v>50</v>
      </c>
      <c r="U36" s="413" t="s">
        <v>51</v>
      </c>
      <c r="V36" s="115" t="s">
        <v>295</v>
      </c>
      <c r="W36" s="261"/>
      <c r="X36" s="261"/>
      <c r="Y36" s="261"/>
      <c r="Z36" s="261"/>
      <c r="AA36" s="261"/>
      <c r="AB36" s="261"/>
    </row>
    <row r="37" spans="2:28" ht="36" x14ac:dyDescent="0.35">
      <c r="B37" s="115" t="s">
        <v>43</v>
      </c>
      <c r="C37" s="407"/>
      <c r="D37" s="408">
        <v>30780.44</v>
      </c>
      <c r="E37" s="409">
        <v>2823.1609271523184</v>
      </c>
      <c r="F37" s="408">
        <v>21658.403399999999</v>
      </c>
      <c r="G37" s="408" t="s">
        <v>37</v>
      </c>
      <c r="H37" s="408">
        <v>3616.4719586206893</v>
      </c>
      <c r="I37" s="408">
        <v>3616.4719586206893</v>
      </c>
      <c r="J37" s="408">
        <v>55262.004327152317</v>
      </c>
      <c r="K37" s="408">
        <v>72945.845711841059</v>
      </c>
      <c r="L37" s="408" t="s">
        <v>38</v>
      </c>
      <c r="M37" s="409">
        <v>100</v>
      </c>
      <c r="N37" s="414"/>
      <c r="O37" s="409" t="s">
        <v>327</v>
      </c>
      <c r="P37" s="409">
        <v>0</v>
      </c>
      <c r="Q37" s="410">
        <v>1</v>
      </c>
      <c r="R37" s="411">
        <v>1</v>
      </c>
      <c r="S37" s="409">
        <v>0</v>
      </c>
      <c r="T37" s="412" t="s">
        <v>127</v>
      </c>
      <c r="U37" s="413" t="s">
        <v>128</v>
      </c>
      <c r="V37" s="115" t="s">
        <v>295</v>
      </c>
      <c r="W37" s="261"/>
      <c r="X37" s="261"/>
      <c r="Y37" s="261"/>
      <c r="Z37" s="261"/>
      <c r="AA37" s="261"/>
      <c r="AB37" s="261"/>
    </row>
    <row r="38" spans="2:28" ht="36" x14ac:dyDescent="0.35">
      <c r="B38" s="115" t="s">
        <v>43</v>
      </c>
      <c r="C38" s="407"/>
      <c r="D38" s="408">
        <v>19831.969999999998</v>
      </c>
      <c r="E38" s="409">
        <v>3987.3947527749742</v>
      </c>
      <c r="F38" s="408">
        <v>1643.4925500000027</v>
      </c>
      <c r="G38" s="408" t="s">
        <v>37</v>
      </c>
      <c r="H38" s="408">
        <v>1481.0663827586206</v>
      </c>
      <c r="I38" s="408">
        <v>1481.0663827586206</v>
      </c>
      <c r="J38" s="408">
        <v>25462.857302774974</v>
      </c>
      <c r="K38" s="408">
        <v>33610.971639662966</v>
      </c>
      <c r="L38" s="408" t="s">
        <v>38</v>
      </c>
      <c r="M38" s="409">
        <v>189</v>
      </c>
      <c r="N38" s="414"/>
      <c r="O38" s="409" t="s">
        <v>328</v>
      </c>
      <c r="P38" s="409">
        <v>0</v>
      </c>
      <c r="Q38" s="410">
        <v>1</v>
      </c>
      <c r="R38" s="411">
        <v>1</v>
      </c>
      <c r="S38" s="409">
        <v>0</v>
      </c>
      <c r="T38" s="412" t="s">
        <v>40</v>
      </c>
      <c r="U38" s="413" t="s">
        <v>41</v>
      </c>
      <c r="V38" s="115" t="s">
        <v>295</v>
      </c>
      <c r="W38" s="261"/>
      <c r="X38" s="261"/>
      <c r="Y38" s="261"/>
      <c r="Z38" s="261"/>
      <c r="AA38" s="261"/>
      <c r="AB38" s="261"/>
    </row>
    <row r="39" spans="2:28" ht="36" x14ac:dyDescent="0.35">
      <c r="B39" s="115" t="s">
        <v>43</v>
      </c>
      <c r="C39" s="407"/>
      <c r="D39" s="408">
        <v>24044.752500000002</v>
      </c>
      <c r="E39" s="409">
        <v>9391.245828503841</v>
      </c>
      <c r="F39" s="408">
        <v>5593.1340499999969</v>
      </c>
      <c r="G39" s="408" t="s">
        <v>37</v>
      </c>
      <c r="H39" s="408">
        <v>2043.992175862069</v>
      </c>
      <c r="I39" s="408">
        <v>2043.992175862069</v>
      </c>
      <c r="J39" s="408">
        <v>39029.13237850384</v>
      </c>
      <c r="K39" s="408">
        <v>51518.454739625071</v>
      </c>
      <c r="L39" s="408" t="s">
        <v>38</v>
      </c>
      <c r="M39" s="409">
        <v>289</v>
      </c>
      <c r="N39" s="414"/>
      <c r="O39" s="409" t="s">
        <v>329</v>
      </c>
      <c r="P39" s="409">
        <v>0</v>
      </c>
      <c r="Q39" s="410">
        <v>0.875</v>
      </c>
      <c r="R39" s="411">
        <v>0.875</v>
      </c>
      <c r="S39" s="409">
        <v>0</v>
      </c>
      <c r="T39" s="412" t="s">
        <v>50</v>
      </c>
      <c r="U39" s="413" t="s">
        <v>78</v>
      </c>
      <c r="V39" s="115" t="s">
        <v>295</v>
      </c>
      <c r="W39" s="261"/>
      <c r="X39" s="261"/>
      <c r="Y39" s="261"/>
      <c r="Z39" s="261"/>
      <c r="AA39" s="261"/>
      <c r="AB39" s="261"/>
    </row>
    <row r="40" spans="2:28" ht="36" x14ac:dyDescent="0.35">
      <c r="B40" s="115" t="s">
        <v>43</v>
      </c>
      <c r="C40" s="407"/>
      <c r="D40" s="408">
        <v>6084.0111400000005</v>
      </c>
      <c r="E40" s="409">
        <v>9391.245828503841</v>
      </c>
      <c r="F40" s="408">
        <v>2430.8916100000006</v>
      </c>
      <c r="G40" s="408" t="s">
        <v>37</v>
      </c>
      <c r="H40" s="408">
        <v>587.23467241379319</v>
      </c>
      <c r="I40" s="408">
        <v>587.23467241379319</v>
      </c>
      <c r="J40" s="408">
        <v>17906.148578503842</v>
      </c>
      <c r="K40" s="408">
        <v>23636.116123625074</v>
      </c>
      <c r="L40" s="408" t="s">
        <v>38</v>
      </c>
      <c r="M40" s="409">
        <v>289</v>
      </c>
      <c r="N40" s="414"/>
      <c r="O40" s="409" t="s">
        <v>330</v>
      </c>
      <c r="P40" s="409">
        <v>0</v>
      </c>
      <c r="Q40" s="410">
        <v>0.22140000000000001</v>
      </c>
      <c r="R40" s="411">
        <v>0.22140000000000001</v>
      </c>
      <c r="S40" s="409">
        <v>0</v>
      </c>
      <c r="T40" s="412" t="s">
        <v>50</v>
      </c>
      <c r="U40" s="413" t="s">
        <v>78</v>
      </c>
      <c r="V40" s="115" t="s">
        <v>295</v>
      </c>
      <c r="W40" s="261"/>
      <c r="X40" s="261"/>
      <c r="Y40" s="261"/>
      <c r="Z40" s="261"/>
      <c r="AA40" s="261"/>
      <c r="AB40" s="261"/>
    </row>
    <row r="41" spans="2:28" ht="36" x14ac:dyDescent="0.35">
      <c r="B41" s="115" t="s">
        <v>43</v>
      </c>
      <c r="C41" s="407"/>
      <c r="D41" s="408">
        <v>27395.840000000004</v>
      </c>
      <c r="E41" s="409">
        <v>9391.245828503841</v>
      </c>
      <c r="F41" s="408">
        <v>6422.0078999999969</v>
      </c>
      <c r="G41" s="408" t="s">
        <v>37</v>
      </c>
      <c r="H41" s="408">
        <v>2332.2653724137931</v>
      </c>
      <c r="I41" s="408">
        <v>2332.2653724137931</v>
      </c>
      <c r="J41" s="408">
        <v>43209.093728503838</v>
      </c>
      <c r="K41" s="408">
        <v>57036.003721625071</v>
      </c>
      <c r="L41" s="408" t="s">
        <v>38</v>
      </c>
      <c r="M41" s="409">
        <v>189</v>
      </c>
      <c r="N41" s="414"/>
      <c r="O41" s="409" t="s">
        <v>331</v>
      </c>
      <c r="P41" s="409">
        <v>0</v>
      </c>
      <c r="Q41" s="410">
        <v>1</v>
      </c>
      <c r="R41" s="411">
        <v>1</v>
      </c>
      <c r="S41" s="409">
        <v>0</v>
      </c>
      <c r="T41" s="412" t="s">
        <v>50</v>
      </c>
      <c r="U41" s="413" t="s">
        <v>78</v>
      </c>
      <c r="V41" s="115" t="s">
        <v>295</v>
      </c>
      <c r="W41" s="261"/>
      <c r="X41" s="261"/>
      <c r="Y41" s="261"/>
      <c r="Z41" s="261"/>
      <c r="AA41" s="261"/>
      <c r="AB41" s="261"/>
    </row>
    <row r="42" spans="2:28" ht="36" x14ac:dyDescent="0.35">
      <c r="B42" s="115" t="s">
        <v>43</v>
      </c>
      <c r="C42" s="407"/>
      <c r="D42" s="408">
        <v>19132.7</v>
      </c>
      <c r="E42" s="409">
        <v>3987.3947527749742</v>
      </c>
      <c r="F42" s="408">
        <v>1813.7636999999995</v>
      </c>
      <c r="G42" s="408" t="s">
        <v>37</v>
      </c>
      <c r="H42" s="408">
        <v>1444.5837034482759</v>
      </c>
      <c r="I42" s="408">
        <v>1444.5837034482759</v>
      </c>
      <c r="J42" s="408">
        <v>24933.858452774974</v>
      </c>
      <c r="K42" s="408">
        <v>32912.693157662965</v>
      </c>
      <c r="L42" s="408" t="s">
        <v>38</v>
      </c>
      <c r="M42" s="409">
        <v>189</v>
      </c>
      <c r="N42" s="414"/>
      <c r="O42" s="409" t="s">
        <v>332</v>
      </c>
      <c r="P42" s="409">
        <v>0</v>
      </c>
      <c r="Q42" s="410">
        <v>1</v>
      </c>
      <c r="R42" s="411">
        <v>1</v>
      </c>
      <c r="S42" s="409">
        <v>0</v>
      </c>
      <c r="T42" s="412" t="s">
        <v>40</v>
      </c>
      <c r="U42" s="413" t="s">
        <v>81</v>
      </c>
      <c r="V42" s="115" t="s">
        <v>295</v>
      </c>
      <c r="W42" s="261"/>
      <c r="X42" s="261"/>
      <c r="Y42" s="261"/>
      <c r="Z42" s="261"/>
      <c r="AA42" s="261"/>
      <c r="AB42" s="261"/>
    </row>
    <row r="43" spans="2:28" ht="36" x14ac:dyDescent="0.35">
      <c r="B43" s="115" t="s">
        <v>43</v>
      </c>
      <c r="C43" s="407"/>
      <c r="D43" s="408">
        <v>29010.799999999996</v>
      </c>
      <c r="E43" s="409">
        <v>11655.644303267974</v>
      </c>
      <c r="F43" s="408">
        <v>34926.375899999999</v>
      </c>
      <c r="G43" s="408" t="s">
        <v>37</v>
      </c>
      <c r="H43" s="408">
        <v>4409.4604068965509</v>
      </c>
      <c r="I43" s="408">
        <v>4409.4604068965509</v>
      </c>
      <c r="J43" s="408">
        <v>75592.820203267969</v>
      </c>
      <c r="K43" s="408">
        <v>93692.820203267969</v>
      </c>
      <c r="L43" s="408" t="s">
        <v>38</v>
      </c>
      <c r="M43" s="409">
        <v>100</v>
      </c>
      <c r="N43" s="414"/>
      <c r="O43" s="409" t="s">
        <v>333</v>
      </c>
      <c r="P43" s="409">
        <v>0</v>
      </c>
      <c r="Q43" s="410">
        <v>1</v>
      </c>
      <c r="R43" s="411">
        <v>1</v>
      </c>
      <c r="S43" s="409">
        <v>0</v>
      </c>
      <c r="T43" s="412" t="s">
        <v>61</v>
      </c>
      <c r="U43" s="413" t="s">
        <v>89</v>
      </c>
      <c r="V43" s="115" t="s">
        <v>295</v>
      </c>
      <c r="W43" s="261"/>
      <c r="X43" s="261"/>
      <c r="Y43" s="261"/>
      <c r="Z43" s="261"/>
      <c r="AA43" s="261"/>
      <c r="AB43" s="261"/>
    </row>
    <row r="44" spans="2:28" ht="36" x14ac:dyDescent="0.35">
      <c r="B44" s="115" t="s">
        <v>43</v>
      </c>
      <c r="C44" s="407"/>
      <c r="D44" s="408">
        <v>27336.760000000002</v>
      </c>
      <c r="E44" s="409">
        <v>9391.245828503841</v>
      </c>
      <c r="F44" s="408">
        <v>6540.9315999999963</v>
      </c>
      <c r="G44" s="408" t="s">
        <v>37</v>
      </c>
      <c r="H44" s="408">
        <v>2336.3925241379311</v>
      </c>
      <c r="I44" s="408">
        <v>2336.3925241379311</v>
      </c>
      <c r="J44" s="408">
        <v>43268.937428503836</v>
      </c>
      <c r="K44" s="408">
        <v>57114.997405625065</v>
      </c>
      <c r="L44" s="408" t="s">
        <v>38</v>
      </c>
      <c r="M44" s="409">
        <v>100</v>
      </c>
      <c r="N44" s="414"/>
      <c r="O44" s="409" t="s">
        <v>334</v>
      </c>
      <c r="P44" s="409">
        <v>0</v>
      </c>
      <c r="Q44" s="410">
        <v>1</v>
      </c>
      <c r="R44" s="411">
        <v>1</v>
      </c>
      <c r="S44" s="409">
        <v>0</v>
      </c>
      <c r="T44" s="412" t="s">
        <v>50</v>
      </c>
      <c r="U44" s="413" t="s">
        <v>78</v>
      </c>
      <c r="V44" s="115" t="s">
        <v>295</v>
      </c>
      <c r="W44" s="261"/>
      <c r="X44" s="261"/>
      <c r="Y44" s="261"/>
      <c r="Z44" s="261"/>
      <c r="AA44" s="261"/>
      <c r="AB44" s="261"/>
    </row>
    <row r="45" spans="2:28" ht="36" x14ac:dyDescent="0.35">
      <c r="B45" s="115" t="s">
        <v>43</v>
      </c>
      <c r="C45" s="407"/>
      <c r="D45" s="408">
        <v>27916.63</v>
      </c>
      <c r="E45" s="409">
        <v>2961.4411162790702</v>
      </c>
      <c r="F45" s="408">
        <v>16872.683649999995</v>
      </c>
      <c r="G45" s="408" t="s">
        <v>37</v>
      </c>
      <c r="H45" s="408">
        <v>3088.9181827586203</v>
      </c>
      <c r="I45" s="408">
        <v>3088.9181827586203</v>
      </c>
      <c r="J45" s="408">
        <v>47750.754766279068</v>
      </c>
      <c r="K45" s="408">
        <v>63030.996291488373</v>
      </c>
      <c r="L45" s="408" t="s">
        <v>38</v>
      </c>
      <c r="M45" s="409">
        <v>100</v>
      </c>
      <c r="N45" s="414"/>
      <c r="O45" s="409" t="s">
        <v>285</v>
      </c>
      <c r="P45" s="409">
        <v>0</v>
      </c>
      <c r="Q45" s="410">
        <v>1</v>
      </c>
      <c r="R45" s="411">
        <v>1</v>
      </c>
      <c r="S45" s="409">
        <v>0</v>
      </c>
      <c r="T45" s="412" t="s">
        <v>68</v>
      </c>
      <c r="U45" s="413" t="s">
        <v>51</v>
      </c>
      <c r="V45" s="115" t="s">
        <v>295</v>
      </c>
      <c r="W45" s="261"/>
      <c r="X45" s="261"/>
      <c r="Y45" s="261"/>
      <c r="Z45" s="261"/>
      <c r="AA45" s="261"/>
      <c r="AB45" s="261"/>
    </row>
    <row r="46" spans="2:28" ht="36" x14ac:dyDescent="0.35">
      <c r="B46" s="115" t="s">
        <v>43</v>
      </c>
      <c r="C46" s="407"/>
      <c r="D46" s="408">
        <v>27177.72</v>
      </c>
      <c r="E46" s="409">
        <v>9391.245828503841</v>
      </c>
      <c r="F46" s="408">
        <v>6657.3709999999992</v>
      </c>
      <c r="G46" s="408" t="s">
        <v>37</v>
      </c>
      <c r="H46" s="408">
        <v>2333.4545517241381</v>
      </c>
      <c r="I46" s="408">
        <v>2333.4545517241381</v>
      </c>
      <c r="J46" s="408">
        <v>43226.336828503845</v>
      </c>
      <c r="K46" s="408">
        <v>57058.764613625077</v>
      </c>
      <c r="L46" s="408" t="s">
        <v>38</v>
      </c>
      <c r="M46" s="409">
        <v>100</v>
      </c>
      <c r="N46" s="414"/>
      <c r="O46" s="409" t="s">
        <v>335</v>
      </c>
      <c r="P46" s="409">
        <v>0</v>
      </c>
      <c r="Q46" s="410">
        <v>1</v>
      </c>
      <c r="R46" s="411">
        <v>1</v>
      </c>
      <c r="S46" s="409">
        <v>0</v>
      </c>
      <c r="T46" s="412" t="s">
        <v>50</v>
      </c>
      <c r="U46" s="413" t="s">
        <v>78</v>
      </c>
      <c r="V46" s="115" t="s">
        <v>295</v>
      </c>
      <c r="W46" s="261"/>
      <c r="X46" s="261"/>
      <c r="Y46" s="261"/>
      <c r="Z46" s="261"/>
      <c r="AA46" s="261"/>
      <c r="AB46" s="261"/>
    </row>
    <row r="47" spans="2:28" ht="36" x14ac:dyDescent="0.35">
      <c r="B47" s="115" t="s">
        <v>36</v>
      </c>
      <c r="C47" s="407"/>
      <c r="D47" s="408">
        <v>18939.939999999999</v>
      </c>
      <c r="E47" s="409">
        <v>1619.8840465116282</v>
      </c>
      <c r="F47" s="408">
        <v>33551.315799999997</v>
      </c>
      <c r="G47" s="408" t="s">
        <v>37</v>
      </c>
      <c r="H47" s="408">
        <v>3620.0866068965515</v>
      </c>
      <c r="I47" s="408">
        <v>3620.0866068965515</v>
      </c>
      <c r="J47" s="408">
        <v>54111.139846511629</v>
      </c>
      <c r="K47" s="408">
        <v>71426.70459739535</v>
      </c>
      <c r="L47" s="408" t="s">
        <v>38</v>
      </c>
      <c r="M47" s="409">
        <v>100</v>
      </c>
      <c r="N47" s="414"/>
      <c r="O47" s="409" t="s">
        <v>336</v>
      </c>
      <c r="P47" s="409">
        <v>0</v>
      </c>
      <c r="Q47" s="410">
        <v>1</v>
      </c>
      <c r="R47" s="411">
        <v>1</v>
      </c>
      <c r="S47" s="409">
        <v>0</v>
      </c>
      <c r="T47" s="412" t="s">
        <v>337</v>
      </c>
      <c r="U47" s="413" t="s">
        <v>81</v>
      </c>
      <c r="V47" s="115" t="s">
        <v>295</v>
      </c>
      <c r="W47" s="261"/>
      <c r="X47" s="261"/>
      <c r="Y47" s="261"/>
      <c r="Z47" s="261"/>
      <c r="AA47" s="261"/>
      <c r="AB47" s="261"/>
    </row>
    <row r="48" spans="2:28" ht="36" x14ac:dyDescent="0.35">
      <c r="B48" s="115" t="s">
        <v>43</v>
      </c>
      <c r="C48" s="407"/>
      <c r="D48" s="408">
        <v>18889.419999999998</v>
      </c>
      <c r="E48" s="409">
        <v>3987.3947527749742</v>
      </c>
      <c r="F48" s="408">
        <v>1610.5033000000039</v>
      </c>
      <c r="G48" s="408" t="s">
        <v>37</v>
      </c>
      <c r="H48" s="408">
        <v>1413.7878137931036</v>
      </c>
      <c r="I48" s="408">
        <v>1413.7878137931036</v>
      </c>
      <c r="J48" s="408">
        <v>24487.318052774976</v>
      </c>
      <c r="K48" s="408">
        <v>32323.259829662969</v>
      </c>
      <c r="L48" s="408" t="s">
        <v>38</v>
      </c>
      <c r="M48" s="409">
        <v>410</v>
      </c>
      <c r="N48" s="414"/>
      <c r="O48" s="409" t="s">
        <v>338</v>
      </c>
      <c r="P48" s="409">
        <v>0</v>
      </c>
      <c r="Q48" s="410">
        <v>1</v>
      </c>
      <c r="R48" s="411">
        <v>1</v>
      </c>
      <c r="S48" s="409">
        <v>0</v>
      </c>
      <c r="T48" s="412" t="s">
        <v>40</v>
      </c>
      <c r="U48" s="413" t="s">
        <v>81</v>
      </c>
      <c r="V48" s="115" t="s">
        <v>295</v>
      </c>
      <c r="W48" s="261"/>
      <c r="X48" s="261"/>
      <c r="Y48" s="261"/>
      <c r="Z48" s="261"/>
      <c r="AA48" s="261"/>
      <c r="AB48" s="261"/>
    </row>
    <row r="49" spans="1:28" ht="36" x14ac:dyDescent="0.35">
      <c r="B49" s="115" t="s">
        <v>43</v>
      </c>
      <c r="C49" s="407"/>
      <c r="D49" s="408">
        <v>27085.100000000002</v>
      </c>
      <c r="E49" s="409">
        <v>9391.245828503841</v>
      </c>
      <c r="F49" s="408">
        <v>6654.1913999999997</v>
      </c>
      <c r="G49" s="408" t="s">
        <v>37</v>
      </c>
      <c r="H49" s="408">
        <v>2326.847682758621</v>
      </c>
      <c r="I49" s="408">
        <v>2326.847682758621</v>
      </c>
      <c r="J49" s="408">
        <v>43130.537228503847</v>
      </c>
      <c r="K49" s="408">
        <v>56932.309141625083</v>
      </c>
      <c r="L49" s="408" t="s">
        <v>38</v>
      </c>
      <c r="M49" s="409">
        <v>100</v>
      </c>
      <c r="N49" s="414"/>
      <c r="O49" s="409" t="s">
        <v>339</v>
      </c>
      <c r="P49" s="409">
        <v>0</v>
      </c>
      <c r="Q49" s="410">
        <v>1</v>
      </c>
      <c r="R49" s="411">
        <v>1</v>
      </c>
      <c r="S49" s="409">
        <v>0</v>
      </c>
      <c r="T49" s="412" t="s">
        <v>50</v>
      </c>
      <c r="U49" s="413" t="s">
        <v>78</v>
      </c>
      <c r="V49" s="115" t="s">
        <v>295</v>
      </c>
      <c r="W49" s="261"/>
      <c r="X49" s="261"/>
      <c r="Y49" s="261"/>
      <c r="Z49" s="261"/>
      <c r="AA49" s="261"/>
      <c r="AB49" s="261"/>
    </row>
    <row r="50" spans="1:28" ht="36" x14ac:dyDescent="0.35">
      <c r="B50" s="115" t="s">
        <v>43</v>
      </c>
      <c r="C50" s="407"/>
      <c r="D50" s="408">
        <v>18864.16</v>
      </c>
      <c r="E50" s="409">
        <v>3987.3947527749742</v>
      </c>
      <c r="F50" s="408">
        <v>1771.3276000000005</v>
      </c>
      <c r="G50" s="408" t="s">
        <v>37</v>
      </c>
      <c r="H50" s="408">
        <v>1423.137075862069</v>
      </c>
      <c r="I50" s="408">
        <v>1423.137075862069</v>
      </c>
      <c r="J50" s="408">
        <v>24622.882352774974</v>
      </c>
      <c r="K50" s="408">
        <v>32502.204705662967</v>
      </c>
      <c r="L50" s="408" t="s">
        <v>38</v>
      </c>
      <c r="M50" s="409">
        <v>410</v>
      </c>
      <c r="N50" s="414"/>
      <c r="O50" s="409" t="s">
        <v>340</v>
      </c>
      <c r="P50" s="409">
        <v>0</v>
      </c>
      <c r="Q50" s="410">
        <v>1</v>
      </c>
      <c r="R50" s="411">
        <v>1</v>
      </c>
      <c r="S50" s="409">
        <v>0</v>
      </c>
      <c r="T50" s="412" t="s">
        <v>40</v>
      </c>
      <c r="U50" s="413" t="s">
        <v>81</v>
      </c>
      <c r="V50" s="115" t="s">
        <v>295</v>
      </c>
      <c r="W50" s="261"/>
      <c r="X50" s="261"/>
      <c r="Y50" s="261"/>
      <c r="Z50" s="261"/>
      <c r="AA50" s="261"/>
      <c r="AB50" s="261"/>
    </row>
    <row r="51" spans="1:28" ht="36" x14ac:dyDescent="0.35">
      <c r="B51" s="115" t="s">
        <v>43</v>
      </c>
      <c r="C51" s="407"/>
      <c r="D51" s="408">
        <v>27085.100000000002</v>
      </c>
      <c r="E51" s="409">
        <v>9391.245828503841</v>
      </c>
      <c r="F51" s="408">
        <v>4584.2328000000016</v>
      </c>
      <c r="G51" s="408" t="s">
        <v>37</v>
      </c>
      <c r="H51" s="408">
        <v>2184.0919172413796</v>
      </c>
      <c r="I51" s="408">
        <v>2184.0919172413796</v>
      </c>
      <c r="J51" s="408">
        <v>41060.578628503848</v>
      </c>
      <c r="K51" s="408">
        <v>54199.963789625086</v>
      </c>
      <c r="L51" s="408" t="s">
        <v>38</v>
      </c>
      <c r="M51" s="409">
        <v>100</v>
      </c>
      <c r="N51" s="414"/>
      <c r="O51" s="409" t="s">
        <v>341</v>
      </c>
      <c r="P51" s="409">
        <v>0</v>
      </c>
      <c r="Q51" s="410">
        <v>1</v>
      </c>
      <c r="R51" s="411">
        <v>1</v>
      </c>
      <c r="S51" s="409">
        <v>0</v>
      </c>
      <c r="T51" s="412" t="s">
        <v>50</v>
      </c>
      <c r="U51" s="413" t="s">
        <v>78</v>
      </c>
      <c r="V51" s="115" t="s">
        <v>295</v>
      </c>
      <c r="W51" s="261"/>
      <c r="X51" s="261"/>
      <c r="Y51" s="261"/>
      <c r="Z51" s="261"/>
      <c r="AA51" s="261"/>
      <c r="AB51" s="261"/>
    </row>
    <row r="52" spans="1:28" ht="36" x14ac:dyDescent="0.35">
      <c r="B52" s="115" t="s">
        <v>43</v>
      </c>
      <c r="C52" s="407"/>
      <c r="D52" s="408">
        <v>8703.24</v>
      </c>
      <c r="E52" s="409">
        <v>11655.644303267974</v>
      </c>
      <c r="F52" s="408">
        <v>6471.2978000000003</v>
      </c>
      <c r="G52" s="408" t="s">
        <v>37</v>
      </c>
      <c r="H52" s="408">
        <v>1046.5198482758622</v>
      </c>
      <c r="I52" s="408">
        <v>1046.5198482758622</v>
      </c>
      <c r="J52" s="408">
        <v>26830.182103267973</v>
      </c>
      <c r="K52" s="408">
        <v>35415.840376313725</v>
      </c>
      <c r="L52" s="408" t="s">
        <v>38</v>
      </c>
      <c r="M52" s="409">
        <v>100</v>
      </c>
      <c r="N52" s="414"/>
      <c r="O52" s="409" t="s">
        <v>342</v>
      </c>
      <c r="P52" s="409">
        <v>0</v>
      </c>
      <c r="Q52" s="410">
        <v>0.3</v>
      </c>
      <c r="R52" s="411">
        <v>0.3</v>
      </c>
      <c r="S52" s="409">
        <v>0</v>
      </c>
      <c r="T52" s="412" t="s">
        <v>74</v>
      </c>
      <c r="U52" s="413" t="s">
        <v>89</v>
      </c>
      <c r="V52" s="115" t="s">
        <v>295</v>
      </c>
      <c r="W52" s="261"/>
      <c r="X52" s="261"/>
      <c r="Y52" s="261"/>
      <c r="Z52" s="261"/>
      <c r="AA52" s="261"/>
      <c r="AB52" s="261"/>
    </row>
    <row r="53" spans="1:28" ht="36" x14ac:dyDescent="0.35">
      <c r="A53" s="58"/>
      <c r="B53" s="115" t="s">
        <v>43</v>
      </c>
      <c r="C53" s="407"/>
      <c r="D53" s="408">
        <v>20901.169999999998</v>
      </c>
      <c r="E53" s="409">
        <v>2823</v>
      </c>
      <c r="F53" s="408">
        <v>503.15000000000146</v>
      </c>
      <c r="G53" s="408" t="s">
        <v>37</v>
      </c>
      <c r="H53" s="408">
        <v>1528.8799999999999</v>
      </c>
      <c r="I53" s="408">
        <v>1528.8799999999999</v>
      </c>
      <c r="J53" s="408">
        <v>24227.32</v>
      </c>
      <c r="K53" s="408">
        <v>31980.062400000003</v>
      </c>
      <c r="L53" s="408" t="s">
        <v>38</v>
      </c>
      <c r="M53" s="409">
        <v>410</v>
      </c>
      <c r="N53" s="115"/>
      <c r="O53" s="409" t="s">
        <v>349</v>
      </c>
      <c r="P53" s="415" t="s">
        <v>350</v>
      </c>
      <c r="Q53" s="411">
        <v>1</v>
      </c>
      <c r="R53" s="411">
        <v>1</v>
      </c>
      <c r="S53" s="415"/>
      <c r="T53" s="412" t="s">
        <v>40</v>
      </c>
      <c r="U53" s="413" t="s">
        <v>41</v>
      </c>
      <c r="V53" s="115"/>
      <c r="W53" s="80"/>
      <c r="X53" s="80"/>
      <c r="Y53" s="80"/>
      <c r="Z53" s="80"/>
      <c r="AA53" s="80"/>
      <c r="AB53" s="80"/>
    </row>
    <row r="54" spans="1:28" ht="36" x14ac:dyDescent="0.35">
      <c r="A54" s="58"/>
      <c r="B54" s="115" t="s">
        <v>43</v>
      </c>
      <c r="C54" s="407"/>
      <c r="D54" s="408">
        <v>29366.54</v>
      </c>
      <c r="E54" s="409">
        <v>6756.0105777777781</v>
      </c>
      <c r="F54" s="408">
        <v>2301.739999999998</v>
      </c>
      <c r="G54" s="408" t="s">
        <v>37</v>
      </c>
      <c r="H54" s="408">
        <v>2119.16</v>
      </c>
      <c r="I54" s="408">
        <v>2119.16</v>
      </c>
      <c r="J54" s="408">
        <v>38424.290577777778</v>
      </c>
      <c r="K54" s="408">
        <v>50720.06356266667</v>
      </c>
      <c r="L54" s="408" t="s">
        <v>38</v>
      </c>
      <c r="M54" s="409">
        <v>100</v>
      </c>
      <c r="N54" s="115"/>
      <c r="O54" s="409" t="s">
        <v>351</v>
      </c>
      <c r="P54" s="415"/>
      <c r="Q54" s="411">
        <v>1</v>
      </c>
      <c r="R54" s="411">
        <v>1</v>
      </c>
      <c r="S54" s="415"/>
      <c r="T54" s="412" t="s">
        <v>50</v>
      </c>
      <c r="U54" s="413" t="s">
        <v>51</v>
      </c>
      <c r="V54" s="115"/>
      <c r="W54" s="80"/>
      <c r="X54" s="80"/>
      <c r="Y54" s="80"/>
      <c r="Z54" s="80"/>
      <c r="AA54" s="80"/>
      <c r="AB54" s="80"/>
    </row>
    <row r="55" spans="1:28" s="20" customFormat="1" x14ac:dyDescent="0.35">
      <c r="A55" s="58"/>
      <c r="B55" s="17" t="s">
        <v>43</v>
      </c>
      <c r="C55" s="416"/>
      <c r="D55" s="110">
        <v>20901.169999999998</v>
      </c>
      <c r="E55" s="417">
        <v>2328</v>
      </c>
      <c r="F55" s="110">
        <v>503.15000000000146</v>
      </c>
      <c r="G55" s="110" t="s">
        <v>37</v>
      </c>
      <c r="H55" s="110">
        <v>1481.6299999999999</v>
      </c>
      <c r="I55" s="110">
        <v>1481.6299999999999</v>
      </c>
      <c r="J55" s="110">
        <v>23732.32</v>
      </c>
      <c r="K55" s="110">
        <v>31326.662400000001</v>
      </c>
      <c r="L55" s="110" t="s">
        <v>38</v>
      </c>
      <c r="M55" s="417">
        <v>410</v>
      </c>
      <c r="N55" s="17"/>
      <c r="O55" s="417" t="s">
        <v>346</v>
      </c>
      <c r="P55" s="111"/>
      <c r="Q55" s="112">
        <v>1</v>
      </c>
      <c r="R55" s="112">
        <v>1</v>
      </c>
      <c r="S55" s="111"/>
      <c r="T55" s="418" t="s">
        <v>40</v>
      </c>
      <c r="U55" s="419" t="s">
        <v>41</v>
      </c>
      <c r="V55" s="115"/>
      <c r="W55" s="80"/>
      <c r="X55" s="80"/>
      <c r="Y55" s="80"/>
      <c r="Z55" s="80"/>
      <c r="AA55" s="80"/>
      <c r="AB55" s="80"/>
    </row>
    <row r="56" spans="1:28" s="20" customFormat="1" x14ac:dyDescent="0.35">
      <c r="A56" s="58"/>
      <c r="B56" s="17" t="s">
        <v>43</v>
      </c>
      <c r="C56" s="416"/>
      <c r="D56" s="110">
        <v>20901.169999999998</v>
      </c>
      <c r="E56" s="417">
        <v>2236</v>
      </c>
      <c r="F56" s="110">
        <v>503.15000000000146</v>
      </c>
      <c r="G56" s="110" t="s">
        <v>37</v>
      </c>
      <c r="H56" s="110">
        <v>1401.57</v>
      </c>
      <c r="I56" s="110">
        <v>1401.57</v>
      </c>
      <c r="J56" s="110">
        <v>23640.32</v>
      </c>
      <c r="K56" s="110">
        <v>31205.222400000002</v>
      </c>
      <c r="L56" s="110" t="s">
        <v>38</v>
      </c>
      <c r="M56" s="417">
        <v>189</v>
      </c>
      <c r="N56" s="17"/>
      <c r="O56" s="417" t="s">
        <v>352</v>
      </c>
      <c r="P56" s="111"/>
      <c r="Q56" s="112">
        <v>1</v>
      </c>
      <c r="R56" s="112">
        <v>1</v>
      </c>
      <c r="S56" s="111"/>
      <c r="T56" s="418" t="s">
        <v>40</v>
      </c>
      <c r="U56" s="419" t="s">
        <v>41</v>
      </c>
      <c r="V56" s="115"/>
      <c r="W56" s="80"/>
      <c r="X56" s="80"/>
      <c r="Y56" s="80"/>
      <c r="Z56" s="80"/>
      <c r="AA56" s="80"/>
      <c r="AB56" s="80"/>
    </row>
    <row r="57" spans="1:28" s="20" customFormat="1" x14ac:dyDescent="0.35">
      <c r="A57" s="58"/>
      <c r="B57" s="17" t="s">
        <v>43</v>
      </c>
      <c r="C57" s="416"/>
      <c r="D57" s="110">
        <v>17144.679999999997</v>
      </c>
      <c r="E57" s="417">
        <v>1585</v>
      </c>
      <c r="F57" s="110">
        <v>2308.880000000001</v>
      </c>
      <c r="G57" s="110" t="s">
        <v>37</v>
      </c>
      <c r="H57" s="110">
        <v>1389.5399999999997</v>
      </c>
      <c r="I57" s="110">
        <v>1389.5399999999997</v>
      </c>
      <c r="J57" s="110">
        <v>21038.559999999998</v>
      </c>
      <c r="K57" s="110">
        <v>27770.8992</v>
      </c>
      <c r="L57" s="110" t="s">
        <v>38</v>
      </c>
      <c r="M57" s="417">
        <v>139</v>
      </c>
      <c r="N57" s="17"/>
      <c r="O57" s="417" t="s">
        <v>353</v>
      </c>
      <c r="P57" s="111"/>
      <c r="Q57" s="112">
        <v>1</v>
      </c>
      <c r="R57" s="112">
        <v>1</v>
      </c>
      <c r="S57" s="111"/>
      <c r="T57" s="418" t="s">
        <v>57</v>
      </c>
      <c r="U57" s="419" t="s">
        <v>76</v>
      </c>
      <c r="V57" s="115"/>
      <c r="W57" s="80"/>
      <c r="X57" s="80"/>
      <c r="Y57" s="80"/>
      <c r="Z57" s="80"/>
      <c r="AA57" s="80"/>
      <c r="AB57" s="80"/>
    </row>
    <row r="58" spans="1:28" s="20" customFormat="1" ht="12" x14ac:dyDescent="0.3">
      <c r="W58" s="34"/>
    </row>
    <row r="59" spans="1:28" s="20" customFormat="1" ht="19" thickBot="1" x14ac:dyDescent="0.5">
      <c r="B59" s="18" t="s">
        <v>17</v>
      </c>
      <c r="C59" s="1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</row>
    <row r="60" spans="1:28" s="20" customFormat="1" ht="32" thickBot="1" x14ac:dyDescent="0.35">
      <c r="B60" s="2" t="s">
        <v>344</v>
      </c>
      <c r="C60" s="2" t="s">
        <v>2</v>
      </c>
      <c r="D60" s="2" t="s">
        <v>21</v>
      </c>
      <c r="E60" s="2" t="s">
        <v>1</v>
      </c>
      <c r="F60" s="2" t="s">
        <v>22</v>
      </c>
      <c r="G60" s="2" t="s">
        <v>14</v>
      </c>
      <c r="H60" s="2" t="s">
        <v>18</v>
      </c>
      <c r="I60" s="2" t="s">
        <v>15</v>
      </c>
      <c r="J60" s="2" t="s">
        <v>10</v>
      </c>
      <c r="K60" s="2" t="s">
        <v>23</v>
      </c>
      <c r="L60" s="2" t="s">
        <v>16</v>
      </c>
      <c r="M60" s="2" t="s">
        <v>3</v>
      </c>
      <c r="N60" s="2" t="s">
        <v>11</v>
      </c>
      <c r="O60" s="2" t="s">
        <v>4</v>
      </c>
      <c r="P60" s="2" t="s">
        <v>5</v>
      </c>
      <c r="Q60" s="2" t="s">
        <v>24</v>
      </c>
      <c r="R60" s="2" t="s">
        <v>25</v>
      </c>
      <c r="S60" s="2" t="s">
        <v>26</v>
      </c>
      <c r="T60" s="2" t="s">
        <v>27</v>
      </c>
      <c r="U60" s="2" t="s">
        <v>6</v>
      </c>
      <c r="V60" s="2" t="s">
        <v>7</v>
      </c>
      <c r="W60" s="2" t="s">
        <v>28</v>
      </c>
      <c r="X60" s="2" t="s">
        <v>29</v>
      </c>
      <c r="Y60" s="2" t="s">
        <v>30</v>
      </c>
      <c r="Z60" s="2" t="s">
        <v>31</v>
      </c>
      <c r="AA60" s="3" t="s">
        <v>8</v>
      </c>
      <c r="AB60" s="3" t="s">
        <v>9</v>
      </c>
    </row>
    <row r="61" spans="1:28" s="20" customFormat="1" x14ac:dyDescent="0.3">
      <c r="B61" s="4"/>
      <c r="C61" s="35"/>
      <c r="D61" s="5"/>
      <c r="E61" s="5"/>
      <c r="F61" s="5"/>
      <c r="G61" s="5"/>
      <c r="H61" s="5"/>
      <c r="I61" s="5"/>
      <c r="J61" s="5"/>
      <c r="K61" s="5"/>
      <c r="L61" s="4"/>
      <c r="M61" s="4"/>
      <c r="N61" s="4"/>
      <c r="O61" s="6"/>
      <c r="P61" s="7"/>
      <c r="Q61" s="8"/>
      <c r="R61" s="8"/>
      <c r="S61" s="8"/>
      <c r="T61" s="9"/>
      <c r="U61" s="9"/>
      <c r="V61" s="10"/>
      <c r="W61" s="36"/>
      <c r="X61" s="36" t="s">
        <v>0</v>
      </c>
      <c r="Y61" s="36"/>
      <c r="Z61" s="36"/>
      <c r="AA61" s="36"/>
      <c r="AB61" s="36"/>
    </row>
    <row r="62" spans="1:28" s="20" customFormat="1" x14ac:dyDescent="0.3">
      <c r="B62" s="4"/>
      <c r="C62" s="31"/>
      <c r="D62" s="5"/>
      <c r="E62" s="5"/>
      <c r="F62" s="5"/>
      <c r="G62" s="5"/>
      <c r="H62" s="5"/>
      <c r="I62" s="5"/>
      <c r="J62" s="5"/>
      <c r="K62" s="5"/>
      <c r="L62" s="4"/>
      <c r="M62" s="4"/>
      <c r="N62" s="4"/>
      <c r="O62" s="6"/>
      <c r="P62" s="7"/>
      <c r="Q62" s="8"/>
      <c r="R62" s="8"/>
      <c r="S62" s="8"/>
      <c r="T62" s="9"/>
      <c r="U62" s="9"/>
      <c r="V62" s="10"/>
      <c r="W62" s="36"/>
      <c r="X62" s="36"/>
      <c r="Y62" s="36"/>
      <c r="Z62" s="36"/>
      <c r="AA62" s="36"/>
      <c r="AB62" s="36"/>
    </row>
    <row r="63" spans="1:28" s="20" customFormat="1" x14ac:dyDescent="0.3">
      <c r="B63" s="4"/>
      <c r="C63" s="31"/>
      <c r="D63" s="5"/>
      <c r="E63" s="5"/>
      <c r="F63" s="5"/>
      <c r="G63" s="5"/>
      <c r="H63" s="5"/>
      <c r="I63" s="5"/>
      <c r="J63" s="5"/>
      <c r="K63" s="5"/>
      <c r="L63" s="4"/>
      <c r="M63" s="4"/>
      <c r="N63" s="4"/>
      <c r="O63" s="6"/>
      <c r="P63" s="7"/>
      <c r="Q63" s="8"/>
      <c r="R63" s="8"/>
      <c r="S63" s="8"/>
      <c r="T63" s="9"/>
      <c r="U63" s="9"/>
      <c r="V63" s="10"/>
      <c r="W63" s="36"/>
      <c r="X63" s="36"/>
      <c r="Y63" s="36"/>
      <c r="Z63" s="36"/>
      <c r="AA63" s="36"/>
      <c r="AB63" s="36"/>
    </row>
    <row r="64" spans="1:28" s="20" customFormat="1" x14ac:dyDescent="0.3">
      <c r="B64" s="11"/>
      <c r="C64" s="31"/>
      <c r="D64" s="12"/>
      <c r="E64" s="12"/>
      <c r="F64" s="12"/>
      <c r="G64" s="12"/>
      <c r="H64" s="12"/>
      <c r="I64" s="12"/>
      <c r="J64" s="12"/>
      <c r="K64" s="12"/>
      <c r="L64" s="11"/>
      <c r="M64" s="11"/>
      <c r="N64" s="11"/>
      <c r="O64" s="37"/>
      <c r="P64" s="13"/>
      <c r="Q64" s="14"/>
      <c r="R64" s="14"/>
      <c r="S64" s="14"/>
      <c r="T64" s="38"/>
      <c r="U64" s="38"/>
      <c r="V64" s="15"/>
      <c r="W64" s="39"/>
      <c r="X64" s="39"/>
      <c r="Y64" s="39"/>
      <c r="Z64" s="39"/>
      <c r="AA64" s="39"/>
      <c r="AB64" s="39"/>
    </row>
    <row r="65" spans="2:37" s="20" customFormat="1" x14ac:dyDescent="0.3">
      <c r="B65" s="11"/>
      <c r="C65" s="31"/>
      <c r="D65" s="12"/>
      <c r="E65" s="12"/>
      <c r="F65" s="12"/>
      <c r="G65" s="12"/>
      <c r="H65" s="12"/>
      <c r="I65" s="12"/>
      <c r="J65" s="12"/>
      <c r="K65" s="12"/>
      <c r="L65" s="11"/>
      <c r="M65" s="11"/>
      <c r="N65" s="11"/>
      <c r="O65" s="37"/>
      <c r="P65" s="13"/>
      <c r="Q65" s="14"/>
      <c r="R65" s="14"/>
      <c r="S65" s="14"/>
      <c r="T65" s="38"/>
      <c r="U65" s="38"/>
      <c r="V65" s="16"/>
      <c r="W65" s="39"/>
      <c r="X65" s="39"/>
      <c r="Y65" s="39"/>
      <c r="Z65" s="39"/>
      <c r="AA65" s="39"/>
      <c r="AB65" s="39"/>
    </row>
    <row r="66" spans="2:37" s="20" customFormat="1" x14ac:dyDescent="0.3">
      <c r="B66" s="11"/>
      <c r="C66" s="31"/>
      <c r="D66" s="12"/>
      <c r="E66" s="12"/>
      <c r="F66" s="12"/>
      <c r="G66" s="12"/>
      <c r="H66" s="12"/>
      <c r="I66" s="12"/>
      <c r="J66" s="12"/>
      <c r="K66" s="12"/>
      <c r="L66" s="11"/>
      <c r="M66" s="11"/>
      <c r="N66" s="11"/>
      <c r="O66" s="37"/>
      <c r="P66" s="13"/>
      <c r="Q66" s="14"/>
      <c r="R66" s="14"/>
      <c r="S66" s="14"/>
      <c r="T66" s="38"/>
      <c r="U66" s="38"/>
      <c r="V66" s="16"/>
      <c r="W66" s="39"/>
      <c r="X66" s="39"/>
      <c r="Y66" s="39"/>
      <c r="Z66" s="39"/>
      <c r="AA66" s="39"/>
      <c r="AB66" s="39"/>
    </row>
    <row r="67" spans="2:37" s="20" customFormat="1" ht="12" x14ac:dyDescent="0.3">
      <c r="W67" s="34"/>
    </row>
    <row r="68" spans="2:37" s="20" customFormat="1" ht="12" x14ac:dyDescent="0.3">
      <c r="W68" s="34"/>
    </row>
    <row r="69" spans="2:37" s="20" customFormat="1" ht="12" x14ac:dyDescent="0.3">
      <c r="W69" s="34"/>
    </row>
    <row r="70" spans="2:37" s="20" customFormat="1" ht="12" x14ac:dyDescent="0.3">
      <c r="W70" s="34"/>
    </row>
    <row r="71" spans="2:37" s="20" customFormat="1" ht="12" x14ac:dyDescent="0.3">
      <c r="W71" s="34"/>
    </row>
    <row r="72" spans="2:37" s="20" customFormat="1" ht="12" x14ac:dyDescent="0.3">
      <c r="W72" s="34"/>
    </row>
    <row r="73" spans="2:37" s="20" customFormat="1" ht="12" x14ac:dyDescent="0.3">
      <c r="W73" s="34"/>
    </row>
    <row r="74" spans="2:37" s="20" customFormat="1" x14ac:dyDescent="0.35">
      <c r="W74" s="34"/>
      <c r="AG74"/>
      <c r="AH74"/>
      <c r="AI74"/>
      <c r="AJ74"/>
      <c r="AK74"/>
    </row>
    <row r="75" spans="2:37" s="20" customFormat="1" x14ac:dyDescent="0.35">
      <c r="W75" s="34"/>
      <c r="AG75"/>
      <c r="AH75"/>
      <c r="AI75"/>
      <c r="AJ75"/>
      <c r="AK75"/>
    </row>
    <row r="76" spans="2:37" s="20" customFormat="1" x14ac:dyDescent="0.35">
      <c r="W76" s="34"/>
      <c r="AG76"/>
      <c r="AH76"/>
      <c r="AI76"/>
      <c r="AJ76"/>
      <c r="AK76"/>
    </row>
    <row r="77" spans="2:37" s="20" customFormat="1" x14ac:dyDescent="0.35">
      <c r="W77" s="34"/>
      <c r="AG77"/>
      <c r="AH77"/>
      <c r="AI77"/>
      <c r="AJ77"/>
      <c r="AK77"/>
    </row>
  </sheetData>
  <autoFilter ref="B9:AD54"/>
  <mergeCells count="3">
    <mergeCell ref="C4:E4"/>
    <mergeCell ref="C5:D5"/>
    <mergeCell ref="C6:D6"/>
  </mergeCells>
  <pageMargins left="0.7" right="0.7" top="0.75" bottom="0.75" header="0.3" footer="0.3"/>
  <pageSetup paperSize="9" scale="2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C60"/>
  <sheetViews>
    <sheetView zoomScaleNormal="100" workbookViewId="0">
      <pane xSplit="2" ySplit="9" topLeftCell="R49" activePane="bottomRight" state="frozen"/>
      <selection activeCell="C7" sqref="C7"/>
      <selection pane="topRight" activeCell="C7" sqref="C7"/>
      <selection pane="bottomLeft" activeCell="C7" sqref="C7"/>
      <selection pane="bottomRight" activeCell="B2" sqref="B2:AB58"/>
    </sheetView>
  </sheetViews>
  <sheetFormatPr defaultColWidth="11.453125" defaultRowHeight="14.5" x14ac:dyDescent="0.35"/>
  <cols>
    <col min="1" max="1" width="9.54296875" style="45" bestFit="1" customWidth="1"/>
    <col min="2" max="2" width="31.7265625" style="45" customWidth="1"/>
    <col min="3" max="3" width="30.26953125" style="45" customWidth="1"/>
    <col min="4" max="4" width="17.26953125" style="45" bestFit="1" customWidth="1"/>
    <col min="5" max="31" width="16.453125" style="45" customWidth="1"/>
    <col min="32" max="16384" width="11.453125" style="45"/>
  </cols>
  <sheetData>
    <row r="2" spans="2:28" ht="18.5" x14ac:dyDescent="0.45">
      <c r="B2" s="273" t="s">
        <v>13</v>
      </c>
      <c r="C2" s="274"/>
      <c r="D2" s="271"/>
    </row>
    <row r="3" spans="2:28" x14ac:dyDescent="0.35">
      <c r="B3" s="214"/>
      <c r="C3" s="214"/>
      <c r="F3" s="214"/>
      <c r="G3" s="215"/>
      <c r="H3" s="215"/>
      <c r="I3" s="215"/>
      <c r="Q3" s="214"/>
      <c r="R3" s="214"/>
      <c r="S3" s="214"/>
    </row>
    <row r="4" spans="2:28" ht="15.5" x14ac:dyDescent="0.35">
      <c r="B4" s="216" t="s">
        <v>12</v>
      </c>
      <c r="C4" s="429" t="s">
        <v>481</v>
      </c>
      <c r="D4" s="430"/>
      <c r="E4" s="431"/>
      <c r="G4" s="215"/>
      <c r="H4" s="215"/>
      <c r="I4" s="215"/>
      <c r="Q4" s="214"/>
      <c r="R4" s="214"/>
      <c r="S4" s="214"/>
    </row>
    <row r="5" spans="2:28" ht="15.5" x14ac:dyDescent="0.35">
      <c r="B5" s="216" t="s">
        <v>20</v>
      </c>
      <c r="C5" s="217" t="s">
        <v>482</v>
      </c>
      <c r="D5" s="218"/>
      <c r="E5" s="219"/>
      <c r="Q5" s="214"/>
      <c r="R5" s="214"/>
      <c r="S5" s="214"/>
    </row>
    <row r="6" spans="2:28" ht="15.5" x14ac:dyDescent="0.35">
      <c r="B6" s="220" t="s">
        <v>19</v>
      </c>
      <c r="C6" s="217" t="s">
        <v>483</v>
      </c>
      <c r="D6" s="218"/>
      <c r="E6" s="219"/>
      <c r="Q6" s="214"/>
      <c r="R6" s="214"/>
      <c r="S6" s="214"/>
    </row>
    <row r="7" spans="2:28" ht="15.5" x14ac:dyDescent="0.35">
      <c r="B7" s="216" t="s">
        <v>32</v>
      </c>
      <c r="C7" s="221" t="s">
        <v>484</v>
      </c>
      <c r="D7" s="222"/>
      <c r="E7" s="223"/>
    </row>
    <row r="8" spans="2:28" ht="16" thickBot="1" x14ac:dyDescent="0.4">
      <c r="B8" s="224"/>
      <c r="C8" s="222"/>
      <c r="D8" s="222"/>
    </row>
    <row r="9" spans="2:28" ht="42" x14ac:dyDescent="0.35">
      <c r="B9" s="209" t="s">
        <v>344</v>
      </c>
      <c r="C9" s="209" t="s">
        <v>2</v>
      </c>
      <c r="D9" s="209" t="s">
        <v>21</v>
      </c>
      <c r="E9" s="209" t="s">
        <v>1</v>
      </c>
      <c r="F9" s="209" t="s">
        <v>22</v>
      </c>
      <c r="G9" s="209" t="s">
        <v>14</v>
      </c>
      <c r="H9" s="209" t="s">
        <v>18</v>
      </c>
      <c r="I9" s="209" t="s">
        <v>15</v>
      </c>
      <c r="J9" s="209" t="s">
        <v>10</v>
      </c>
      <c r="K9" s="209" t="s">
        <v>23</v>
      </c>
      <c r="L9" s="209" t="s">
        <v>16</v>
      </c>
      <c r="M9" s="209" t="s">
        <v>3</v>
      </c>
      <c r="N9" s="209" t="s">
        <v>11</v>
      </c>
      <c r="O9" s="209" t="s">
        <v>4</v>
      </c>
      <c r="P9" s="209" t="s">
        <v>5</v>
      </c>
      <c r="Q9" s="209" t="s">
        <v>24</v>
      </c>
      <c r="R9" s="209" t="s">
        <v>25</v>
      </c>
      <c r="S9" s="209" t="s">
        <v>26</v>
      </c>
      <c r="T9" s="209" t="s">
        <v>27</v>
      </c>
      <c r="U9" s="209" t="s">
        <v>6</v>
      </c>
      <c r="V9" s="209" t="s">
        <v>7</v>
      </c>
      <c r="W9" s="209" t="s">
        <v>28</v>
      </c>
      <c r="X9" s="209" t="s">
        <v>29</v>
      </c>
      <c r="Y9" s="209" t="s">
        <v>30</v>
      </c>
      <c r="Z9" s="209" t="s">
        <v>31</v>
      </c>
      <c r="AA9" s="210" t="s">
        <v>8</v>
      </c>
      <c r="AB9" s="210" t="s">
        <v>9</v>
      </c>
    </row>
    <row r="10" spans="2:28" ht="24" x14ac:dyDescent="0.35">
      <c r="B10" s="225"/>
      <c r="C10" s="226" t="s">
        <v>485</v>
      </c>
      <c r="D10" s="227">
        <v>30425.899999999998</v>
      </c>
      <c r="E10" s="227">
        <v>10772.16</v>
      </c>
      <c r="F10" s="227">
        <v>6628.4399999999987</v>
      </c>
      <c r="G10" s="227"/>
      <c r="H10" s="227">
        <v>2592.6699999999996</v>
      </c>
      <c r="I10" s="227">
        <v>2592.6699999999996</v>
      </c>
      <c r="J10" s="227">
        <v>47826.5</v>
      </c>
      <c r="K10" s="227">
        <v>11857.388799999999</v>
      </c>
      <c r="L10" s="228">
        <v>0</v>
      </c>
      <c r="M10" s="225" t="s">
        <v>387</v>
      </c>
      <c r="N10" s="225" t="s">
        <v>365</v>
      </c>
      <c r="O10" s="229">
        <v>37998</v>
      </c>
      <c r="P10" s="230"/>
      <c r="Q10" s="231">
        <v>1734</v>
      </c>
      <c r="R10" s="231">
        <v>100</v>
      </c>
      <c r="S10" s="232"/>
      <c r="T10" s="233" t="s">
        <v>486</v>
      </c>
      <c r="U10" s="233">
        <v>2</v>
      </c>
      <c r="V10" s="201"/>
      <c r="W10" s="234"/>
      <c r="X10" s="234" t="s">
        <v>0</v>
      </c>
      <c r="Y10" s="234"/>
      <c r="Z10" s="234"/>
      <c r="AA10" s="234"/>
      <c r="AB10" s="234"/>
    </row>
    <row r="11" spans="2:28" ht="24" x14ac:dyDescent="0.35">
      <c r="B11" s="235"/>
      <c r="C11" s="226" t="s">
        <v>485</v>
      </c>
      <c r="D11" s="236">
        <v>23826.74</v>
      </c>
      <c r="E11" s="236">
        <v>2201.44</v>
      </c>
      <c r="F11" s="236">
        <v>386.81999999999971</v>
      </c>
      <c r="G11" s="236"/>
      <c r="H11" s="236">
        <v>1705.8400000000001</v>
      </c>
      <c r="I11" s="236">
        <v>1705.8400000000001</v>
      </c>
      <c r="J11" s="236">
        <v>26415</v>
      </c>
      <c r="K11" s="236">
        <v>7748.3392000000003</v>
      </c>
      <c r="L11" s="237">
        <v>0</v>
      </c>
      <c r="M11" s="235" t="s">
        <v>387</v>
      </c>
      <c r="N11" s="235" t="s">
        <v>365</v>
      </c>
      <c r="O11" s="212">
        <v>34046</v>
      </c>
      <c r="P11" s="238"/>
      <c r="Q11" s="239">
        <v>1734</v>
      </c>
      <c r="R11" s="239">
        <v>100</v>
      </c>
      <c r="S11" s="240"/>
      <c r="T11" s="241" t="s">
        <v>487</v>
      </c>
      <c r="U11" s="241">
        <v>4</v>
      </c>
      <c r="V11" s="174"/>
      <c r="W11" s="242"/>
      <c r="X11" s="242"/>
      <c r="Y11" s="242"/>
      <c r="Z11" s="242"/>
      <c r="AA11" s="242"/>
      <c r="AB11" s="242"/>
    </row>
    <row r="12" spans="2:28" ht="24" x14ac:dyDescent="0.35">
      <c r="B12" s="235"/>
      <c r="C12" s="226" t="s">
        <v>485</v>
      </c>
      <c r="D12" s="236">
        <v>30217.079999999998</v>
      </c>
      <c r="E12" s="236">
        <v>2612.8200000000002</v>
      </c>
      <c r="F12" s="236">
        <v>6628.4399999999987</v>
      </c>
      <c r="G12" s="236"/>
      <c r="H12" s="236">
        <v>2598</v>
      </c>
      <c r="I12" s="236">
        <v>2598</v>
      </c>
      <c r="J12" s="236">
        <v>39458.339999999997</v>
      </c>
      <c r="K12" s="236">
        <v>11790.5664</v>
      </c>
      <c r="L12" s="237">
        <v>0</v>
      </c>
      <c r="M12" s="235" t="s">
        <v>387</v>
      </c>
      <c r="N12" s="235" t="s">
        <v>365</v>
      </c>
      <c r="O12" s="212">
        <v>37575</v>
      </c>
      <c r="P12" s="238"/>
      <c r="Q12" s="239">
        <v>1734</v>
      </c>
      <c r="R12" s="239">
        <v>100</v>
      </c>
      <c r="S12" s="240"/>
      <c r="T12" s="241" t="s">
        <v>486</v>
      </c>
      <c r="U12" s="241">
        <v>2</v>
      </c>
      <c r="V12" s="174"/>
      <c r="W12" s="242"/>
      <c r="X12" s="242"/>
      <c r="Y12" s="242"/>
      <c r="Z12" s="242"/>
      <c r="AA12" s="242"/>
      <c r="AB12" s="242"/>
    </row>
    <row r="13" spans="2:28" ht="72.5" x14ac:dyDescent="0.35">
      <c r="B13" s="235"/>
      <c r="C13" s="226" t="s">
        <v>485</v>
      </c>
      <c r="D13" s="236">
        <v>20923.98</v>
      </c>
      <c r="E13" s="236">
        <v>2711.92</v>
      </c>
      <c r="F13" s="236">
        <v>4639.880000000001</v>
      </c>
      <c r="G13" s="236"/>
      <c r="H13" s="236">
        <v>1825.99</v>
      </c>
      <c r="I13" s="236">
        <v>1825.99</v>
      </c>
      <c r="J13" s="236">
        <v>28275.78</v>
      </c>
      <c r="K13" s="236">
        <v>8180.4352000000008</v>
      </c>
      <c r="L13" s="237">
        <v>0</v>
      </c>
      <c r="M13" s="235" t="s">
        <v>391</v>
      </c>
      <c r="N13" s="235" t="s">
        <v>365</v>
      </c>
      <c r="O13" s="212">
        <v>36923</v>
      </c>
      <c r="P13" s="238"/>
      <c r="Q13" s="239">
        <v>1734</v>
      </c>
      <c r="R13" s="239">
        <v>70</v>
      </c>
      <c r="S13" s="240"/>
      <c r="T13" s="241" t="s">
        <v>488</v>
      </c>
      <c r="U13" s="241">
        <v>2</v>
      </c>
      <c r="V13" s="174"/>
      <c r="W13" s="242" t="s">
        <v>489</v>
      </c>
      <c r="X13" s="242"/>
      <c r="Y13" s="242"/>
      <c r="Z13" s="242"/>
      <c r="AA13" s="242"/>
      <c r="AB13" s="243" t="s">
        <v>490</v>
      </c>
    </row>
    <row r="14" spans="2:28" ht="24" x14ac:dyDescent="0.35">
      <c r="B14" s="235"/>
      <c r="C14" s="226" t="s">
        <v>485</v>
      </c>
      <c r="D14" s="236">
        <v>30740.639999999999</v>
      </c>
      <c r="E14" s="236">
        <v>3473.96</v>
      </c>
      <c r="F14" s="236">
        <v>6628.4400000000023</v>
      </c>
      <c r="G14" s="236"/>
      <c r="H14" s="236">
        <v>2645.52</v>
      </c>
      <c r="I14" s="236">
        <v>2645.52</v>
      </c>
      <c r="J14" s="236">
        <v>40843.040000000001</v>
      </c>
      <c r="K14" s="236">
        <v>11958.105600000001</v>
      </c>
      <c r="L14" s="237">
        <v>0</v>
      </c>
      <c r="M14" s="235" t="s">
        <v>387</v>
      </c>
      <c r="N14" s="235" t="s">
        <v>365</v>
      </c>
      <c r="O14" s="212">
        <v>33406</v>
      </c>
      <c r="P14" s="238"/>
      <c r="Q14" s="239">
        <v>1734</v>
      </c>
      <c r="R14" s="239">
        <v>100</v>
      </c>
      <c r="S14" s="240"/>
      <c r="T14" s="241" t="s">
        <v>488</v>
      </c>
      <c r="U14" s="241">
        <v>2</v>
      </c>
      <c r="V14" s="174"/>
      <c r="W14" s="242"/>
      <c r="X14" s="242"/>
      <c r="Y14" s="242"/>
      <c r="Z14" s="242"/>
      <c r="AA14" s="242"/>
      <c r="AB14" s="242"/>
    </row>
    <row r="15" spans="2:28" ht="24" x14ac:dyDescent="0.35">
      <c r="B15" s="235"/>
      <c r="C15" s="226" t="s">
        <v>485</v>
      </c>
      <c r="D15" s="236">
        <v>29778.699999999997</v>
      </c>
      <c r="E15" s="236">
        <v>2323.1200000000003</v>
      </c>
      <c r="F15" s="236">
        <v>6628.4400000000023</v>
      </c>
      <c r="G15" s="236"/>
      <c r="H15" s="236">
        <v>2576.81</v>
      </c>
      <c r="I15" s="236">
        <v>2576.81</v>
      </c>
      <c r="J15" s="236">
        <v>38730.26</v>
      </c>
      <c r="K15" s="236">
        <v>11650.284799999999</v>
      </c>
      <c r="L15" s="237">
        <v>0</v>
      </c>
      <c r="M15" s="235" t="s">
        <v>387</v>
      </c>
      <c r="N15" s="235" t="s">
        <v>365</v>
      </c>
      <c r="O15" s="212">
        <v>39211</v>
      </c>
      <c r="P15" s="238"/>
      <c r="Q15" s="239">
        <v>1734</v>
      </c>
      <c r="R15" s="239">
        <v>100</v>
      </c>
      <c r="S15" s="240"/>
      <c r="T15" s="241" t="s">
        <v>486</v>
      </c>
      <c r="U15" s="241">
        <v>2</v>
      </c>
      <c r="V15" s="174"/>
      <c r="W15" s="242"/>
      <c r="X15" s="242"/>
      <c r="Y15" s="242"/>
      <c r="Z15" s="242"/>
      <c r="AA15" s="242"/>
      <c r="AB15" s="242"/>
    </row>
    <row r="16" spans="2:28" ht="24" x14ac:dyDescent="0.35">
      <c r="B16" s="235"/>
      <c r="C16" s="226" t="s">
        <v>485</v>
      </c>
      <c r="D16" s="236">
        <v>23309.300000000003</v>
      </c>
      <c r="E16" s="236">
        <v>4295.1899999999996</v>
      </c>
      <c r="F16" s="236">
        <v>386.81999999999971</v>
      </c>
      <c r="G16" s="236"/>
      <c r="H16" s="236">
        <v>1668.8799999999999</v>
      </c>
      <c r="I16" s="236">
        <v>1668.8799999999999</v>
      </c>
      <c r="J16" s="236">
        <v>27991.31</v>
      </c>
      <c r="K16" s="236">
        <v>7582.7584000000006</v>
      </c>
      <c r="L16" s="244">
        <v>0</v>
      </c>
      <c r="M16" s="236" t="s">
        <v>387</v>
      </c>
      <c r="N16" s="235" t="s">
        <v>365</v>
      </c>
      <c r="O16" s="212">
        <v>36819</v>
      </c>
      <c r="P16" s="238"/>
      <c r="Q16" s="239">
        <v>1734</v>
      </c>
      <c r="R16" s="239">
        <v>100</v>
      </c>
      <c r="S16" s="240"/>
      <c r="T16" s="241" t="s">
        <v>487</v>
      </c>
      <c r="U16" s="241">
        <v>4</v>
      </c>
      <c r="V16" s="245"/>
      <c r="W16" s="242"/>
      <c r="X16" s="242"/>
      <c r="Y16" s="242"/>
      <c r="Z16" s="242"/>
      <c r="AA16" s="242"/>
      <c r="AB16" s="242"/>
    </row>
    <row r="17" spans="2:28" ht="24" x14ac:dyDescent="0.35">
      <c r="B17" s="235"/>
      <c r="C17" s="226" t="s">
        <v>485</v>
      </c>
      <c r="D17" s="236">
        <v>29927.379999999997</v>
      </c>
      <c r="E17" s="236">
        <v>4748.9500000000007</v>
      </c>
      <c r="F17" s="236">
        <v>6628.4400000000023</v>
      </c>
      <c r="G17" s="236"/>
      <c r="H17" s="236">
        <v>2587.4299999999998</v>
      </c>
      <c r="I17" s="236">
        <v>2587.4299999999998</v>
      </c>
      <c r="J17" s="236">
        <v>41304.770000000004</v>
      </c>
      <c r="K17" s="236">
        <v>11697.8624</v>
      </c>
      <c r="L17" s="244">
        <v>0</v>
      </c>
      <c r="M17" s="236" t="s">
        <v>387</v>
      </c>
      <c r="N17" s="235" t="s">
        <v>365</v>
      </c>
      <c r="O17" s="212">
        <v>38108</v>
      </c>
      <c r="P17" s="238"/>
      <c r="Q17" s="239">
        <v>1734</v>
      </c>
      <c r="R17" s="239">
        <v>100</v>
      </c>
      <c r="S17" s="240"/>
      <c r="T17" s="241" t="s">
        <v>486</v>
      </c>
      <c r="U17" s="241">
        <v>2</v>
      </c>
      <c r="V17" s="245"/>
      <c r="W17" s="242"/>
      <c r="X17" s="242"/>
      <c r="Y17" s="242"/>
      <c r="Z17" s="242"/>
      <c r="AA17" s="242"/>
      <c r="AB17" s="242"/>
    </row>
    <row r="18" spans="2:28" ht="24" x14ac:dyDescent="0.35">
      <c r="B18" s="235"/>
      <c r="C18" s="226" t="s">
        <v>485</v>
      </c>
      <c r="D18" s="236">
        <v>30069.1</v>
      </c>
      <c r="E18" s="236">
        <v>5563.3600000000006</v>
      </c>
      <c r="F18" s="236">
        <v>6628.4399999999951</v>
      </c>
      <c r="G18" s="236"/>
      <c r="H18" s="236">
        <v>2587.4299999999998</v>
      </c>
      <c r="I18" s="236">
        <v>2587.4299999999998</v>
      </c>
      <c r="J18" s="236">
        <v>42260.899999999994</v>
      </c>
      <c r="K18" s="236">
        <v>11743.212799999998</v>
      </c>
      <c r="L18" s="244">
        <v>0</v>
      </c>
      <c r="M18" s="236" t="s">
        <v>387</v>
      </c>
      <c r="N18" s="235" t="s">
        <v>365</v>
      </c>
      <c r="O18" s="212">
        <v>38530</v>
      </c>
      <c r="P18" s="238"/>
      <c r="Q18" s="239">
        <v>1734</v>
      </c>
      <c r="R18" s="239">
        <v>100</v>
      </c>
      <c r="S18" s="240"/>
      <c r="T18" s="241" t="s">
        <v>486</v>
      </c>
      <c r="U18" s="241">
        <v>2</v>
      </c>
      <c r="V18" s="245"/>
      <c r="W18" s="242"/>
      <c r="X18" s="242"/>
      <c r="Y18" s="242"/>
      <c r="Z18" s="242"/>
      <c r="AA18" s="242"/>
      <c r="AB18" s="242"/>
    </row>
    <row r="19" spans="2:28" ht="43.5" x14ac:dyDescent="0.35">
      <c r="B19" s="235"/>
      <c r="C19" s="226" t="s">
        <v>485</v>
      </c>
      <c r="D19" s="236">
        <v>26431.72</v>
      </c>
      <c r="E19" s="236">
        <v>3640.24</v>
      </c>
      <c r="F19" s="236">
        <v>19121.899999999994</v>
      </c>
      <c r="G19" s="236"/>
      <c r="H19" s="236">
        <v>3230.13</v>
      </c>
      <c r="I19" s="236">
        <v>3230.13</v>
      </c>
      <c r="J19" s="236">
        <v>49193.859999999993</v>
      </c>
      <c r="K19" s="236">
        <v>14577.158399999998</v>
      </c>
      <c r="L19" s="244">
        <v>1463</v>
      </c>
      <c r="M19" s="236" t="s">
        <v>391</v>
      </c>
      <c r="N19" s="235" t="s">
        <v>365</v>
      </c>
      <c r="O19" s="212">
        <v>34431</v>
      </c>
      <c r="P19" s="238"/>
      <c r="Q19" s="239">
        <v>1698</v>
      </c>
      <c r="R19" s="239">
        <v>77</v>
      </c>
      <c r="S19" s="240"/>
      <c r="T19" s="241" t="s">
        <v>491</v>
      </c>
      <c r="U19" s="241">
        <v>1</v>
      </c>
      <c r="V19" s="246" t="s">
        <v>492</v>
      </c>
      <c r="W19" s="242"/>
      <c r="X19" s="242"/>
      <c r="Y19" s="242"/>
      <c r="Z19" s="242"/>
      <c r="AA19" s="242"/>
      <c r="AB19" s="242"/>
    </row>
    <row r="20" spans="2:28" ht="24" x14ac:dyDescent="0.35">
      <c r="B20" s="235"/>
      <c r="C20" s="226" t="s">
        <v>485</v>
      </c>
      <c r="D20" s="236">
        <v>22385.300000000003</v>
      </c>
      <c r="E20" s="236">
        <v>5397.1999999999989</v>
      </c>
      <c r="F20" s="236">
        <v>386.81999999999971</v>
      </c>
      <c r="G20" s="236"/>
      <c r="H20" s="236">
        <v>1626.5800000000002</v>
      </c>
      <c r="I20" s="236">
        <v>1626.5800000000002</v>
      </c>
      <c r="J20" s="236">
        <v>28169.32</v>
      </c>
      <c r="K20" s="236">
        <v>7287.0784000000012</v>
      </c>
      <c r="L20" s="244">
        <v>0</v>
      </c>
      <c r="M20" s="236" t="s">
        <v>387</v>
      </c>
      <c r="N20" s="235" t="s">
        <v>365</v>
      </c>
      <c r="O20" s="212">
        <v>39937</v>
      </c>
      <c r="P20" s="238"/>
      <c r="Q20" s="239">
        <v>1734</v>
      </c>
      <c r="R20" s="239">
        <v>100</v>
      </c>
      <c r="S20" s="240"/>
      <c r="T20" s="241" t="s">
        <v>487</v>
      </c>
      <c r="U20" s="241">
        <v>4</v>
      </c>
      <c r="V20" s="245"/>
      <c r="W20" s="242"/>
      <c r="X20" s="242"/>
      <c r="Y20" s="242"/>
      <c r="Z20" s="242"/>
      <c r="AA20" s="242"/>
      <c r="AB20" s="242"/>
    </row>
    <row r="21" spans="2:28" ht="24" x14ac:dyDescent="0.35">
      <c r="B21" s="235"/>
      <c r="C21" s="226" t="s">
        <v>485</v>
      </c>
      <c r="D21" s="236">
        <v>33635.839999999997</v>
      </c>
      <c r="E21" s="236">
        <v>6110.18</v>
      </c>
      <c r="F21" s="236">
        <v>32089.699999999997</v>
      </c>
      <c r="G21" s="236"/>
      <c r="H21" s="236">
        <v>4242.4100000000008</v>
      </c>
      <c r="I21" s="236">
        <v>4242.4100000000008</v>
      </c>
      <c r="J21" s="236">
        <v>71835.72</v>
      </c>
      <c r="K21" s="236">
        <v>18126.72</v>
      </c>
      <c r="L21" s="244">
        <v>5500</v>
      </c>
      <c r="M21" s="236" t="s">
        <v>387</v>
      </c>
      <c r="N21" s="235" t="s">
        <v>365</v>
      </c>
      <c r="O21" s="212">
        <v>37377</v>
      </c>
      <c r="P21" s="238"/>
      <c r="Q21" s="239">
        <v>1734</v>
      </c>
      <c r="R21" s="239">
        <v>100</v>
      </c>
      <c r="S21" s="240"/>
      <c r="T21" s="241" t="s">
        <v>493</v>
      </c>
      <c r="U21" s="241">
        <v>1</v>
      </c>
      <c r="V21" s="245"/>
      <c r="W21" s="242"/>
      <c r="X21" s="242"/>
      <c r="Y21" s="242"/>
      <c r="Z21" s="242"/>
      <c r="AA21" s="242"/>
      <c r="AB21" s="242"/>
    </row>
    <row r="22" spans="2:28" ht="24" x14ac:dyDescent="0.35">
      <c r="B22" s="235"/>
      <c r="C22" s="226" t="s">
        <v>485</v>
      </c>
      <c r="D22" s="236">
        <v>23826.74</v>
      </c>
      <c r="E22" s="236">
        <v>1522.94</v>
      </c>
      <c r="F22" s="236">
        <v>386.81999999999971</v>
      </c>
      <c r="G22" s="236"/>
      <c r="H22" s="236">
        <v>1705.8400000000001</v>
      </c>
      <c r="I22" s="236">
        <v>1705.8400000000001</v>
      </c>
      <c r="J22" s="236">
        <v>25736.5</v>
      </c>
      <c r="K22" s="236">
        <v>7748.3392000000003</v>
      </c>
      <c r="L22" s="244">
        <v>0</v>
      </c>
      <c r="M22" s="236" t="s">
        <v>387</v>
      </c>
      <c r="N22" s="235" t="s">
        <v>365</v>
      </c>
      <c r="O22" s="212">
        <v>34102</v>
      </c>
      <c r="P22" s="238"/>
      <c r="Q22" s="239">
        <v>1734</v>
      </c>
      <c r="R22" s="239">
        <v>100</v>
      </c>
      <c r="S22" s="240"/>
      <c r="T22" s="241" t="s">
        <v>487</v>
      </c>
      <c r="U22" s="241">
        <v>4</v>
      </c>
      <c r="V22" s="245"/>
      <c r="W22" s="242"/>
      <c r="X22" s="242"/>
      <c r="Y22" s="242"/>
      <c r="Z22" s="242"/>
      <c r="AA22" s="242"/>
      <c r="AB22" s="242"/>
    </row>
    <row r="23" spans="2:28" ht="24" x14ac:dyDescent="0.35">
      <c r="B23" s="235"/>
      <c r="C23" s="226" t="s">
        <v>485</v>
      </c>
      <c r="D23" s="236">
        <v>21816.980000000003</v>
      </c>
      <c r="E23" s="236">
        <v>1780.59</v>
      </c>
      <c r="F23" s="236">
        <v>4772.4599999999991</v>
      </c>
      <c r="G23" s="236"/>
      <c r="H23" s="236">
        <v>1855.3</v>
      </c>
      <c r="I23" s="236">
        <v>1855.3</v>
      </c>
      <c r="J23" s="236">
        <v>28370.030000000002</v>
      </c>
      <c r="K23" s="236">
        <v>8508.6208000000006</v>
      </c>
      <c r="L23" s="244">
        <v>0</v>
      </c>
      <c r="M23" s="236" t="s">
        <v>387</v>
      </c>
      <c r="N23" s="235" t="s">
        <v>365</v>
      </c>
      <c r="O23" s="212">
        <v>39237</v>
      </c>
      <c r="P23" s="238"/>
      <c r="Q23" s="239">
        <v>1734</v>
      </c>
      <c r="R23" s="239">
        <v>72</v>
      </c>
      <c r="S23" s="240">
        <v>48221</v>
      </c>
      <c r="T23" s="241" t="s">
        <v>486</v>
      </c>
      <c r="U23" s="241">
        <v>2</v>
      </c>
      <c r="V23" s="245"/>
      <c r="W23" s="242"/>
      <c r="X23" s="242"/>
      <c r="Y23" s="242"/>
      <c r="Z23" s="242"/>
      <c r="AA23" s="242"/>
      <c r="AB23" s="242"/>
    </row>
    <row r="24" spans="2:28" ht="72.5" x14ac:dyDescent="0.35">
      <c r="B24" s="235"/>
      <c r="C24" s="226" t="s">
        <v>485</v>
      </c>
      <c r="D24" s="236">
        <v>8768.1999999999989</v>
      </c>
      <c r="E24" s="236">
        <v>11166.949999999999</v>
      </c>
      <c r="F24" s="236">
        <v>1988.5599999999995</v>
      </c>
      <c r="G24" s="236"/>
      <c r="H24" s="236">
        <v>768.33999999999992</v>
      </c>
      <c r="I24" s="236">
        <v>768.33999999999992</v>
      </c>
      <c r="J24" s="236">
        <v>21923.71</v>
      </c>
      <c r="K24" s="236">
        <v>3442.1631999999995</v>
      </c>
      <c r="L24" s="244">
        <v>0</v>
      </c>
      <c r="M24" s="236" t="s">
        <v>391</v>
      </c>
      <c r="N24" s="247" t="s">
        <v>365</v>
      </c>
      <c r="O24" s="212">
        <v>40294</v>
      </c>
      <c r="P24" s="238"/>
      <c r="Q24" s="239">
        <v>1734</v>
      </c>
      <c r="R24" s="239">
        <v>30</v>
      </c>
      <c r="S24" s="240">
        <v>45657</v>
      </c>
      <c r="T24" s="241" t="s">
        <v>486</v>
      </c>
      <c r="U24" s="241">
        <v>2</v>
      </c>
      <c r="V24" s="245"/>
      <c r="W24" s="242" t="s">
        <v>489</v>
      </c>
      <c r="X24" s="242"/>
      <c r="Y24" s="242"/>
      <c r="Z24" s="242"/>
      <c r="AA24" s="242"/>
      <c r="AB24" s="243" t="s">
        <v>494</v>
      </c>
    </row>
    <row r="25" spans="2:28" ht="24" x14ac:dyDescent="0.35">
      <c r="B25" s="235"/>
      <c r="C25" s="226" t="s">
        <v>485</v>
      </c>
      <c r="D25" s="236">
        <v>28594.02</v>
      </c>
      <c r="E25" s="236">
        <v>3043.55</v>
      </c>
      <c r="F25" s="236">
        <v>11628.48</v>
      </c>
      <c r="G25" s="236"/>
      <c r="H25" s="236">
        <v>2515.89</v>
      </c>
      <c r="I25" s="236">
        <v>2515.89</v>
      </c>
      <c r="J25" s="236">
        <v>43266.05</v>
      </c>
      <c r="K25" s="236">
        <v>12871.2</v>
      </c>
      <c r="L25" s="244">
        <v>3500</v>
      </c>
      <c r="M25" s="236" t="s">
        <v>390</v>
      </c>
      <c r="N25" s="235" t="s">
        <v>365</v>
      </c>
      <c r="O25" s="212">
        <v>42887</v>
      </c>
      <c r="P25" s="238"/>
      <c r="Q25" s="239">
        <v>1734</v>
      </c>
      <c r="R25" s="239">
        <v>100</v>
      </c>
      <c r="S25" s="240"/>
      <c r="T25" s="241" t="s">
        <v>486</v>
      </c>
      <c r="U25" s="241">
        <v>2</v>
      </c>
      <c r="V25" s="245"/>
      <c r="W25" s="243"/>
      <c r="X25" s="242"/>
      <c r="Y25" s="242"/>
      <c r="Z25" s="242"/>
      <c r="AA25" s="242"/>
      <c r="AB25" s="242"/>
    </row>
    <row r="26" spans="2:28" ht="24" x14ac:dyDescent="0.35">
      <c r="B26" s="235"/>
      <c r="C26" s="226" t="s">
        <v>485</v>
      </c>
      <c r="D26" s="236">
        <v>21242.560000000001</v>
      </c>
      <c r="E26" s="236">
        <v>3052.44</v>
      </c>
      <c r="F26" s="236">
        <v>381.91999999999825</v>
      </c>
      <c r="G26" s="236"/>
      <c r="H26" s="236">
        <v>1524.3600000000001</v>
      </c>
      <c r="I26" s="236">
        <v>1524.3600000000001</v>
      </c>
      <c r="J26" s="236">
        <v>24676.92</v>
      </c>
      <c r="K26" s="236">
        <v>6919.8335999999999</v>
      </c>
      <c r="L26" s="244">
        <v>0</v>
      </c>
      <c r="M26" s="236" t="s">
        <v>387</v>
      </c>
      <c r="N26" s="235" t="s">
        <v>365</v>
      </c>
      <c r="O26" s="212">
        <v>43561</v>
      </c>
      <c r="P26" s="238"/>
      <c r="Q26" s="239">
        <v>1734</v>
      </c>
      <c r="R26" s="239">
        <v>100</v>
      </c>
      <c r="S26" s="240"/>
      <c r="T26" s="241" t="s">
        <v>495</v>
      </c>
      <c r="U26" s="241">
        <v>4</v>
      </c>
      <c r="V26" s="245"/>
      <c r="W26" s="243"/>
      <c r="X26" s="242"/>
      <c r="Y26" s="242"/>
      <c r="Z26" s="242"/>
      <c r="AA26" s="242"/>
      <c r="AB26" s="242"/>
    </row>
    <row r="27" spans="2:28" ht="24" x14ac:dyDescent="0.35">
      <c r="B27" s="235"/>
      <c r="C27" s="226" t="s">
        <v>485</v>
      </c>
      <c r="D27" s="236">
        <v>11460.02</v>
      </c>
      <c r="E27" s="236">
        <v>1604.4699999999998</v>
      </c>
      <c r="F27" s="236">
        <v>2651.3199999999997</v>
      </c>
      <c r="G27" s="236"/>
      <c r="H27" s="236">
        <v>974.13</v>
      </c>
      <c r="I27" s="236">
        <v>974.13</v>
      </c>
      <c r="J27" s="236">
        <v>15715.81</v>
      </c>
      <c r="K27" s="236">
        <v>4515.6288000000004</v>
      </c>
      <c r="L27" s="244">
        <v>0</v>
      </c>
      <c r="M27" s="236" t="s">
        <v>391</v>
      </c>
      <c r="N27" s="235" t="s">
        <v>365</v>
      </c>
      <c r="O27" s="212">
        <v>44396</v>
      </c>
      <c r="P27" s="238"/>
      <c r="Q27" s="239">
        <v>1734</v>
      </c>
      <c r="R27" s="239">
        <v>40</v>
      </c>
      <c r="S27" s="240"/>
      <c r="T27" s="241" t="s">
        <v>496</v>
      </c>
      <c r="U27" s="241">
        <v>2</v>
      </c>
      <c r="V27" s="245"/>
      <c r="W27" s="243"/>
      <c r="X27" s="242"/>
      <c r="Y27" s="242"/>
      <c r="Z27" s="242"/>
      <c r="AA27" s="242"/>
      <c r="AB27" s="242"/>
    </row>
    <row r="28" spans="2:28" ht="24" x14ac:dyDescent="0.35">
      <c r="B28" s="235"/>
      <c r="C28" s="226" t="s">
        <v>485</v>
      </c>
      <c r="D28" s="236">
        <v>8239.84</v>
      </c>
      <c r="E28" s="236">
        <v>936.95</v>
      </c>
      <c r="F28" s="236">
        <v>1988.5599999999995</v>
      </c>
      <c r="G28" s="236"/>
      <c r="H28" s="236">
        <v>730.6</v>
      </c>
      <c r="I28" s="236">
        <v>730.6</v>
      </c>
      <c r="J28" s="236">
        <v>11165.35</v>
      </c>
      <c r="K28" s="236">
        <v>3273.0879999999997</v>
      </c>
      <c r="L28" s="244">
        <v>0</v>
      </c>
      <c r="M28" s="236" t="s">
        <v>497</v>
      </c>
      <c r="N28" s="235" t="s">
        <v>365</v>
      </c>
      <c r="O28" s="212">
        <v>44375</v>
      </c>
      <c r="P28" s="238"/>
      <c r="Q28" s="239">
        <v>1734</v>
      </c>
      <c r="R28" s="239">
        <v>30</v>
      </c>
      <c r="S28" s="240"/>
      <c r="T28" s="241" t="s">
        <v>496</v>
      </c>
      <c r="U28" s="241">
        <v>2</v>
      </c>
      <c r="V28" s="245"/>
      <c r="W28" s="243"/>
      <c r="X28" s="242"/>
      <c r="Y28" s="242"/>
      <c r="Z28" s="242"/>
      <c r="AA28" s="242"/>
      <c r="AB28" s="242"/>
    </row>
    <row r="29" spans="2:28" ht="24" x14ac:dyDescent="0.35">
      <c r="B29" s="235"/>
      <c r="C29" s="226" t="s">
        <v>485</v>
      </c>
      <c r="D29" s="236">
        <v>5752.26</v>
      </c>
      <c r="E29" s="236">
        <v>3819.2000000000003</v>
      </c>
      <c r="F29" s="236">
        <v>1325.6599999999999</v>
      </c>
      <c r="G29" s="236"/>
      <c r="H29" s="236">
        <v>485.32</v>
      </c>
      <c r="I29" s="236">
        <v>485.32</v>
      </c>
      <c r="J29" s="236">
        <v>10897.12</v>
      </c>
      <c r="K29" s="236">
        <v>2264.9344000000001</v>
      </c>
      <c r="L29" s="244">
        <v>0</v>
      </c>
      <c r="M29" s="236" t="s">
        <v>497</v>
      </c>
      <c r="N29" s="235" t="s">
        <v>365</v>
      </c>
      <c r="O29" s="212">
        <v>44501</v>
      </c>
      <c r="P29" s="238"/>
      <c r="Q29" s="239">
        <v>1734</v>
      </c>
      <c r="R29" s="239">
        <v>20</v>
      </c>
      <c r="S29" s="240"/>
      <c r="T29" s="241" t="s">
        <v>496</v>
      </c>
      <c r="U29" s="241">
        <v>2</v>
      </c>
      <c r="V29" s="245"/>
      <c r="W29" s="243"/>
      <c r="X29" s="242"/>
      <c r="Y29" s="242"/>
      <c r="Z29" s="242"/>
      <c r="AA29" s="242"/>
      <c r="AB29" s="242"/>
    </row>
    <row r="30" spans="2:28" ht="43.5" x14ac:dyDescent="0.35">
      <c r="B30" s="235"/>
      <c r="C30" s="226" t="s">
        <v>485</v>
      </c>
      <c r="D30" s="236">
        <v>20471.5</v>
      </c>
      <c r="E30" s="236">
        <v>3025.6099999999997</v>
      </c>
      <c r="F30" s="236">
        <v>381.92000000000189</v>
      </c>
      <c r="G30" s="236"/>
      <c r="H30" s="236">
        <v>1489.5300000000002</v>
      </c>
      <c r="I30" s="236">
        <v>1489.5300000000002</v>
      </c>
      <c r="J30" s="236">
        <v>23879.030000000002</v>
      </c>
      <c r="K30" s="236">
        <v>6673.0944000000009</v>
      </c>
      <c r="L30" s="244">
        <v>0</v>
      </c>
      <c r="M30" s="236" t="s">
        <v>387</v>
      </c>
      <c r="N30" s="235" t="s">
        <v>365</v>
      </c>
      <c r="O30" s="212">
        <v>45104</v>
      </c>
      <c r="P30" s="238"/>
      <c r="Q30" s="239">
        <v>1734</v>
      </c>
      <c r="R30" s="239">
        <v>100</v>
      </c>
      <c r="S30" s="240">
        <v>45535</v>
      </c>
      <c r="T30" s="241" t="s">
        <v>495</v>
      </c>
      <c r="U30" s="241">
        <v>4</v>
      </c>
      <c r="V30" s="245"/>
      <c r="W30" s="242" t="s">
        <v>489</v>
      </c>
      <c r="X30" s="242"/>
      <c r="Y30" s="242"/>
      <c r="Z30" s="242"/>
      <c r="AA30" s="242"/>
      <c r="AB30" s="243" t="s">
        <v>498</v>
      </c>
    </row>
    <row r="31" spans="2:28" ht="24" x14ac:dyDescent="0.35">
      <c r="B31" s="235"/>
      <c r="C31" s="226" t="s">
        <v>485</v>
      </c>
      <c r="D31" s="236">
        <v>13549.76</v>
      </c>
      <c r="E31" s="236">
        <v>330.61</v>
      </c>
      <c r="F31" s="236">
        <v>3314.2199999999993</v>
      </c>
      <c r="G31" s="236"/>
      <c r="H31" s="236">
        <v>1204.57</v>
      </c>
      <c r="I31" s="236">
        <v>1204.57</v>
      </c>
      <c r="J31" s="236">
        <v>17194.59</v>
      </c>
      <c r="K31" s="236">
        <v>5396.4736000000003</v>
      </c>
      <c r="L31" s="244">
        <v>0</v>
      </c>
      <c r="M31" s="236" t="s">
        <v>391</v>
      </c>
      <c r="N31" s="235" t="s">
        <v>365</v>
      </c>
      <c r="O31" s="212">
        <v>45323</v>
      </c>
      <c r="P31" s="238"/>
      <c r="Q31" s="239">
        <v>1734</v>
      </c>
      <c r="R31" s="239">
        <v>50</v>
      </c>
      <c r="S31" s="240"/>
      <c r="T31" s="241" t="s">
        <v>496</v>
      </c>
      <c r="U31" s="241">
        <v>2</v>
      </c>
      <c r="V31" s="245"/>
      <c r="W31" s="243"/>
      <c r="X31" s="242"/>
      <c r="Y31" s="242"/>
      <c r="Z31" s="242"/>
      <c r="AA31" s="242"/>
      <c r="AB31" s="242"/>
    </row>
    <row r="32" spans="2:28" ht="24" x14ac:dyDescent="0.35">
      <c r="B32" s="235"/>
      <c r="C32" s="226" t="s">
        <v>485</v>
      </c>
      <c r="D32" s="236">
        <v>27099.52</v>
      </c>
      <c r="E32" s="236">
        <v>859.27</v>
      </c>
      <c r="F32" s="236">
        <v>12628.439999999999</v>
      </c>
      <c r="G32" s="236"/>
      <c r="H32" s="236">
        <v>2409.14</v>
      </c>
      <c r="I32" s="236">
        <v>2409.14</v>
      </c>
      <c r="J32" s="236">
        <v>40587.229999999996</v>
      </c>
      <c r="K32" s="236">
        <v>12712.947200000001</v>
      </c>
      <c r="L32" s="244">
        <v>0</v>
      </c>
      <c r="M32" s="236" t="s">
        <v>397</v>
      </c>
      <c r="N32" s="235" t="s">
        <v>374</v>
      </c>
      <c r="O32" s="212">
        <v>45355</v>
      </c>
      <c r="P32" s="238"/>
      <c r="Q32" s="239">
        <v>1734</v>
      </c>
      <c r="R32" s="239">
        <v>100</v>
      </c>
      <c r="S32" s="240"/>
      <c r="T32" s="241" t="s">
        <v>496</v>
      </c>
      <c r="U32" s="241">
        <v>2</v>
      </c>
      <c r="V32" s="245"/>
      <c r="W32" s="243"/>
      <c r="X32" s="242"/>
      <c r="Y32" s="242"/>
      <c r="Z32" s="242"/>
      <c r="AA32" s="242"/>
      <c r="AB32" s="242"/>
    </row>
    <row r="33" spans="1:28" ht="43.5" x14ac:dyDescent="0.35">
      <c r="B33" s="235"/>
      <c r="C33" s="226" t="s">
        <v>485</v>
      </c>
      <c r="D33" s="236">
        <v>20490.580000000002</v>
      </c>
      <c r="E33" s="236">
        <v>560.63</v>
      </c>
      <c r="F33" s="236">
        <v>381.91999999999825</v>
      </c>
      <c r="G33" s="236"/>
      <c r="H33" s="236">
        <v>1480.77</v>
      </c>
      <c r="I33" s="236">
        <v>1480.77</v>
      </c>
      <c r="J33" s="236">
        <v>21433.13</v>
      </c>
      <c r="K33" s="236">
        <v>6679.2</v>
      </c>
      <c r="L33" s="244">
        <v>0</v>
      </c>
      <c r="M33" s="236" t="s">
        <v>387</v>
      </c>
      <c r="N33" s="235" t="s">
        <v>365</v>
      </c>
      <c r="O33" s="212">
        <v>45413</v>
      </c>
      <c r="P33" s="238"/>
      <c r="Q33" s="239">
        <v>1734</v>
      </c>
      <c r="R33" s="239">
        <v>100</v>
      </c>
      <c r="S33" s="240">
        <v>45504</v>
      </c>
      <c r="T33" s="241" t="s">
        <v>495</v>
      </c>
      <c r="U33" s="241">
        <v>4</v>
      </c>
      <c r="V33" s="245"/>
      <c r="W33" s="242" t="s">
        <v>489</v>
      </c>
      <c r="X33" s="242"/>
      <c r="Y33" s="242"/>
      <c r="Z33" s="242"/>
      <c r="AA33" s="242"/>
      <c r="AB33" s="243" t="s">
        <v>498</v>
      </c>
    </row>
    <row r="34" spans="1:28" ht="24" x14ac:dyDescent="0.35">
      <c r="B34" s="235"/>
      <c r="C34" s="226" t="s">
        <v>485</v>
      </c>
      <c r="D34" s="236">
        <v>19621.98</v>
      </c>
      <c r="E34" s="236">
        <v>45.36</v>
      </c>
      <c r="F34" s="236">
        <v>0</v>
      </c>
      <c r="G34" s="236"/>
      <c r="H34" s="236">
        <v>1401.57</v>
      </c>
      <c r="I34" s="236">
        <v>1401.57</v>
      </c>
      <c r="J34" s="236">
        <v>19667.34</v>
      </c>
      <c r="K34" s="236">
        <v>6279.0335999999998</v>
      </c>
      <c r="L34" s="244">
        <v>0</v>
      </c>
      <c r="M34" s="236" t="s">
        <v>499</v>
      </c>
      <c r="N34" s="235" t="s">
        <v>500</v>
      </c>
      <c r="O34" s="212">
        <v>45439</v>
      </c>
      <c r="P34" s="238">
        <v>45803</v>
      </c>
      <c r="Q34" s="239">
        <v>1734</v>
      </c>
      <c r="R34" s="239">
        <v>100</v>
      </c>
      <c r="S34" s="240"/>
      <c r="T34" s="241" t="s">
        <v>501</v>
      </c>
      <c r="U34" s="241">
        <v>9</v>
      </c>
      <c r="V34" s="245"/>
      <c r="W34" s="243"/>
      <c r="X34" s="242"/>
      <c r="Y34" s="242"/>
      <c r="Z34" s="242"/>
      <c r="AA34" s="242"/>
      <c r="AB34" s="242"/>
    </row>
    <row r="35" spans="1:28" ht="43.5" x14ac:dyDescent="0.35">
      <c r="B35" s="235"/>
      <c r="C35" s="226" t="s">
        <v>485</v>
      </c>
      <c r="D35" s="236">
        <v>27099.52</v>
      </c>
      <c r="E35" s="236">
        <v>0</v>
      </c>
      <c r="F35" s="236">
        <v>6628.4399999999987</v>
      </c>
      <c r="G35" s="236"/>
      <c r="H35" s="236">
        <v>2409.14</v>
      </c>
      <c r="I35" s="236">
        <v>2409.14</v>
      </c>
      <c r="J35" s="236">
        <v>33727.96</v>
      </c>
      <c r="K35" s="236">
        <v>10792.947200000001</v>
      </c>
      <c r="L35" s="244">
        <v>0</v>
      </c>
      <c r="M35" s="236" t="s">
        <v>387</v>
      </c>
      <c r="N35" s="206" t="s">
        <v>365</v>
      </c>
      <c r="O35" s="212">
        <v>45450</v>
      </c>
      <c r="P35" s="211"/>
      <c r="Q35" s="206">
        <v>1734</v>
      </c>
      <c r="R35" s="206">
        <v>100</v>
      </c>
      <c r="S35" s="212">
        <v>45596</v>
      </c>
      <c r="T35" s="226" t="s">
        <v>496</v>
      </c>
      <c r="U35" s="226">
        <v>2</v>
      </c>
      <c r="V35" s="245"/>
      <c r="W35" s="242" t="s">
        <v>489</v>
      </c>
      <c r="X35" s="242"/>
      <c r="Y35" s="242"/>
      <c r="Z35" s="242"/>
      <c r="AA35" s="242"/>
      <c r="AB35" s="243" t="s">
        <v>502</v>
      </c>
    </row>
    <row r="36" spans="1:28" ht="24" x14ac:dyDescent="0.35">
      <c r="B36" s="235"/>
      <c r="C36" s="207" t="s">
        <v>485</v>
      </c>
      <c r="D36" s="236">
        <v>10780.42</v>
      </c>
      <c r="E36" s="236">
        <v>160.88000000000002</v>
      </c>
      <c r="F36" s="236">
        <v>0</v>
      </c>
      <c r="G36" s="236"/>
      <c r="H36" s="236">
        <v>746.33</v>
      </c>
      <c r="I36" s="236">
        <v>746.33</v>
      </c>
      <c r="J36" s="236">
        <v>10941.3</v>
      </c>
      <c r="K36" s="236">
        <v>3449.7344000000003</v>
      </c>
      <c r="L36" s="244">
        <v>0</v>
      </c>
      <c r="M36" s="236" t="s">
        <v>503</v>
      </c>
      <c r="N36" s="235" t="s">
        <v>374</v>
      </c>
      <c r="O36" s="212">
        <v>45237</v>
      </c>
      <c r="P36" s="238"/>
      <c r="Q36" s="239">
        <v>1734</v>
      </c>
      <c r="R36" s="239">
        <v>60</v>
      </c>
      <c r="S36" s="239"/>
      <c r="T36" s="241" t="s">
        <v>504</v>
      </c>
      <c r="U36" s="241">
        <v>5</v>
      </c>
      <c r="V36" s="245"/>
      <c r="W36" s="242"/>
      <c r="X36" s="242"/>
      <c r="Y36" s="242"/>
      <c r="Z36" s="242"/>
      <c r="AA36" s="242"/>
      <c r="AB36" s="248"/>
    </row>
    <row r="37" spans="1:28" ht="24" x14ac:dyDescent="0.35">
      <c r="B37" s="235"/>
      <c r="C37" s="207" t="s">
        <v>485</v>
      </c>
      <c r="D37" s="236">
        <v>28996.979999999996</v>
      </c>
      <c r="E37" s="236">
        <v>0</v>
      </c>
      <c r="F37" s="236">
        <v>5875.6600000000035</v>
      </c>
      <c r="G37" s="236"/>
      <c r="H37" s="236">
        <v>1758.6399999999999</v>
      </c>
      <c r="I37" s="236">
        <v>1758.6399999999999</v>
      </c>
      <c r="J37" s="236">
        <v>34872.639999999999</v>
      </c>
      <c r="K37" s="236">
        <v>11159.2448</v>
      </c>
      <c r="L37" s="244">
        <v>0</v>
      </c>
      <c r="M37" s="236" t="s">
        <v>391</v>
      </c>
      <c r="N37" s="235" t="s">
        <v>365</v>
      </c>
      <c r="O37" s="212">
        <v>45483</v>
      </c>
      <c r="P37" s="235"/>
      <c r="Q37" s="239">
        <v>1734</v>
      </c>
      <c r="R37" s="239">
        <v>60</v>
      </c>
      <c r="S37" s="212"/>
      <c r="T37" s="241" t="s">
        <v>493</v>
      </c>
      <c r="U37" s="249">
        <v>1</v>
      </c>
      <c r="V37" s="249"/>
      <c r="W37" s="242"/>
      <c r="X37" s="242"/>
      <c r="Y37" s="242"/>
      <c r="Z37" s="242"/>
      <c r="AA37" s="242"/>
      <c r="AB37" s="242"/>
    </row>
    <row r="38" spans="1:28" ht="24" x14ac:dyDescent="0.35">
      <c r="B38" s="235"/>
      <c r="C38" s="207" t="s">
        <v>485</v>
      </c>
      <c r="D38" s="236">
        <v>33869.68</v>
      </c>
      <c r="E38" s="236">
        <v>0</v>
      </c>
      <c r="F38" s="236">
        <v>4999.9199999999983</v>
      </c>
      <c r="G38" s="236"/>
      <c r="H38" s="236">
        <v>1935.68</v>
      </c>
      <c r="I38" s="236">
        <v>1935.68</v>
      </c>
      <c r="J38" s="236">
        <v>38869.599999999999</v>
      </c>
      <c r="K38" s="236">
        <v>12438.271999999999</v>
      </c>
      <c r="L38" s="244">
        <v>0</v>
      </c>
      <c r="M38" s="236" t="s">
        <v>387</v>
      </c>
      <c r="N38" s="206" t="s">
        <v>365</v>
      </c>
      <c r="O38" s="212">
        <v>45566</v>
      </c>
      <c r="P38" s="235"/>
      <c r="Q38" s="239">
        <v>1734</v>
      </c>
      <c r="R38" s="239">
        <v>100</v>
      </c>
      <c r="S38" s="212"/>
      <c r="T38" s="241" t="s">
        <v>496</v>
      </c>
      <c r="U38" s="249">
        <v>2</v>
      </c>
      <c r="V38" s="249"/>
      <c r="W38" s="242"/>
      <c r="X38" s="242"/>
      <c r="Y38" s="242"/>
      <c r="Z38" s="242"/>
      <c r="AA38" s="242"/>
      <c r="AB38" s="242"/>
    </row>
    <row r="39" spans="1:28" s="253" customFormat="1" ht="135" customHeight="1" x14ac:dyDescent="0.35">
      <c r="A39" s="45"/>
      <c r="B39" s="166" t="s">
        <v>505</v>
      </c>
      <c r="C39" s="207" t="s">
        <v>485</v>
      </c>
      <c r="D39" s="250">
        <f>(1/7)*22762.92</f>
        <v>3251.8457142857137</v>
      </c>
      <c r="E39" s="250">
        <f>(1/7)*3623.84</f>
        <v>517.69142857142856</v>
      </c>
      <c r="F39" s="250">
        <f>(1/7)*7661.52</f>
        <v>1094.5028571428572</v>
      </c>
      <c r="G39" s="250"/>
      <c r="H39" s="250">
        <f>(1/7)*2010.78</f>
        <v>287.25428571428569</v>
      </c>
      <c r="I39" s="250">
        <f>(1/7)*2010.78</f>
        <v>287.25428571428569</v>
      </c>
      <c r="J39" s="250">
        <f>(1/7)*34048.28</f>
        <v>4864.04</v>
      </c>
      <c r="K39" s="250">
        <f>(1/7)*9735.8208</f>
        <v>1390.8315428571427</v>
      </c>
      <c r="L39" s="237">
        <f>(1/7)*2700</f>
        <v>385.71428571428567</v>
      </c>
      <c r="M39" s="235" t="s">
        <v>387</v>
      </c>
      <c r="N39" s="235" t="s">
        <v>365</v>
      </c>
      <c r="O39" s="211">
        <v>38930</v>
      </c>
      <c r="P39" s="251"/>
      <c r="Q39" s="235">
        <v>1734</v>
      </c>
      <c r="R39" s="252">
        <f>(1/7)*100</f>
        <v>14.285714285714285</v>
      </c>
      <c r="S39" s="235"/>
      <c r="T39" s="251" t="s">
        <v>506</v>
      </c>
      <c r="U39" s="251">
        <v>8</v>
      </c>
      <c r="V39" s="207"/>
      <c r="W39" s="242"/>
      <c r="X39" s="242"/>
      <c r="Y39" s="242"/>
      <c r="Z39" s="242"/>
      <c r="AA39" s="242"/>
      <c r="AB39" s="242"/>
    </row>
    <row r="40" spans="1:28" ht="152.25" customHeight="1" x14ac:dyDescent="0.35">
      <c r="B40" s="166" t="s">
        <v>507</v>
      </c>
      <c r="C40" s="207" t="s">
        <v>485</v>
      </c>
      <c r="D40" s="250">
        <v>2406.194</v>
      </c>
      <c r="E40" s="250">
        <v>170.423</v>
      </c>
      <c r="F40" s="250">
        <v>408.92600000000022</v>
      </c>
      <c r="G40" s="250"/>
      <c r="H40" s="250">
        <v>201.07999999999998</v>
      </c>
      <c r="I40" s="250">
        <v>201.07999999999998</v>
      </c>
      <c r="J40" s="250">
        <v>2985.5430000000001</v>
      </c>
      <c r="K40" s="250">
        <v>900.83839999999998</v>
      </c>
      <c r="L40" s="351">
        <v>0</v>
      </c>
      <c r="M40" s="250" t="s">
        <v>390</v>
      </c>
      <c r="N40" s="235" t="s">
        <v>365</v>
      </c>
      <c r="O40" s="211">
        <v>39167</v>
      </c>
      <c r="P40" s="238"/>
      <c r="Q40" s="235">
        <v>1734</v>
      </c>
      <c r="R40" s="252">
        <v>10</v>
      </c>
      <c r="S40" s="352"/>
      <c r="T40" s="251" t="s">
        <v>508</v>
      </c>
      <c r="U40" s="251">
        <v>8</v>
      </c>
      <c r="V40" s="353"/>
      <c r="W40" s="353"/>
      <c r="X40" s="242"/>
      <c r="Y40" s="242"/>
      <c r="Z40" s="242"/>
      <c r="AA40" s="242"/>
      <c r="AB40" s="242"/>
    </row>
    <row r="41" spans="1:28" ht="144.75" customHeight="1" x14ac:dyDescent="0.35">
      <c r="B41" s="166" t="s">
        <v>507</v>
      </c>
      <c r="C41" s="207" t="s">
        <v>485</v>
      </c>
      <c r="D41" s="250">
        <v>2387.252</v>
      </c>
      <c r="E41" s="250">
        <v>143.655</v>
      </c>
      <c r="F41" s="250">
        <v>482.39799999999997</v>
      </c>
      <c r="G41" s="250"/>
      <c r="H41" s="250">
        <v>201.10499999999999</v>
      </c>
      <c r="I41" s="250">
        <v>201.10499999999999</v>
      </c>
      <c r="J41" s="250">
        <v>3013.3049999999998</v>
      </c>
      <c r="K41" s="250">
        <v>918.28800000000012</v>
      </c>
      <c r="L41" s="351">
        <v>0</v>
      </c>
      <c r="M41" s="250" t="s">
        <v>387</v>
      </c>
      <c r="N41" s="235" t="s">
        <v>365</v>
      </c>
      <c r="O41" s="211">
        <v>38845</v>
      </c>
      <c r="P41" s="238"/>
      <c r="Q41" s="235">
        <v>1734</v>
      </c>
      <c r="R41" s="252">
        <v>10</v>
      </c>
      <c r="S41" s="352"/>
      <c r="T41" s="251" t="s">
        <v>509</v>
      </c>
      <c r="U41" s="251">
        <v>8</v>
      </c>
      <c r="V41" s="353"/>
      <c r="W41" s="353"/>
      <c r="X41" s="242"/>
      <c r="Y41" s="242"/>
      <c r="Z41" s="242"/>
      <c r="AA41" s="242"/>
      <c r="AB41" s="242"/>
    </row>
    <row r="42" spans="1:28" ht="141" customHeight="1" x14ac:dyDescent="0.35">
      <c r="B42" s="166" t="s">
        <v>507</v>
      </c>
      <c r="C42" s="207" t="s">
        <v>485</v>
      </c>
      <c r="D42" s="250">
        <v>3242.0080000000003</v>
      </c>
      <c r="E42" s="250">
        <v>1515.021</v>
      </c>
      <c r="F42" s="250">
        <v>5267.9680000000008</v>
      </c>
      <c r="G42" s="250"/>
      <c r="H42" s="250">
        <v>557.42200000000003</v>
      </c>
      <c r="I42" s="250">
        <v>557.42200000000003</v>
      </c>
      <c r="J42" s="250">
        <v>10024.996999999999</v>
      </c>
      <c r="K42" s="250">
        <v>1812.672</v>
      </c>
      <c r="L42" s="351">
        <v>1250</v>
      </c>
      <c r="M42" s="250" t="s">
        <v>387</v>
      </c>
      <c r="N42" s="235" t="s">
        <v>365</v>
      </c>
      <c r="O42" s="211">
        <v>33273</v>
      </c>
      <c r="P42" s="238"/>
      <c r="Q42" s="235">
        <v>1734</v>
      </c>
      <c r="R42" s="252">
        <v>10</v>
      </c>
      <c r="S42" s="352"/>
      <c r="T42" s="251" t="s">
        <v>510</v>
      </c>
      <c r="U42" s="251">
        <v>6</v>
      </c>
      <c r="V42" s="353"/>
      <c r="W42" s="353"/>
      <c r="X42" s="242"/>
      <c r="Y42" s="242"/>
      <c r="Z42" s="242"/>
      <c r="AA42" s="242"/>
      <c r="AB42" s="242"/>
    </row>
    <row r="43" spans="1:28" ht="134.25" customHeight="1" x14ac:dyDescent="0.35">
      <c r="B43" s="166" t="s">
        <v>507</v>
      </c>
      <c r="C43" s="207" t="s">
        <v>485</v>
      </c>
      <c r="D43" s="250">
        <v>3097.57</v>
      </c>
      <c r="E43" s="250">
        <v>565.12999999999988</v>
      </c>
      <c r="F43" s="250">
        <v>3069.3339999999994</v>
      </c>
      <c r="G43" s="250"/>
      <c r="H43" s="250">
        <v>366.48399999999998</v>
      </c>
      <c r="I43" s="250">
        <v>366.48399999999998</v>
      </c>
      <c r="J43" s="250">
        <v>6732.0339999999997</v>
      </c>
      <c r="K43" s="250">
        <v>1812.672</v>
      </c>
      <c r="L43" s="351">
        <v>432</v>
      </c>
      <c r="M43" s="250" t="s">
        <v>387</v>
      </c>
      <c r="N43" s="235" t="s">
        <v>365</v>
      </c>
      <c r="O43" s="211">
        <v>31845</v>
      </c>
      <c r="P43" s="238"/>
      <c r="Q43" s="235">
        <v>1734</v>
      </c>
      <c r="R43" s="252">
        <v>10</v>
      </c>
      <c r="S43" s="352"/>
      <c r="T43" s="251" t="s">
        <v>511</v>
      </c>
      <c r="U43" s="251">
        <v>2</v>
      </c>
      <c r="V43" s="353"/>
      <c r="W43" s="353"/>
      <c r="X43" s="242"/>
      <c r="Y43" s="242"/>
      <c r="Z43" s="242"/>
      <c r="AA43" s="242"/>
      <c r="AB43" s="242"/>
    </row>
    <row r="44" spans="1:28" ht="132.75" customHeight="1" x14ac:dyDescent="0.35">
      <c r="B44" s="166" t="s">
        <v>507</v>
      </c>
      <c r="C44" s="207" t="s">
        <v>485</v>
      </c>
      <c r="D44" s="250">
        <v>1713.2079999999999</v>
      </c>
      <c r="E44" s="250">
        <v>37.150999999999996</v>
      </c>
      <c r="F44" s="250">
        <v>4162.7039999999997</v>
      </c>
      <c r="G44" s="250"/>
      <c r="H44" s="250">
        <v>417.33800000000002</v>
      </c>
      <c r="I44" s="250">
        <v>417.33800000000002</v>
      </c>
      <c r="J44" s="250">
        <v>5913.0630000000001</v>
      </c>
      <c r="K44" s="250">
        <v>1812.672</v>
      </c>
      <c r="L44" s="351">
        <v>0</v>
      </c>
      <c r="M44" s="250" t="s">
        <v>391</v>
      </c>
      <c r="N44" s="235" t="s">
        <v>365</v>
      </c>
      <c r="O44" s="211">
        <v>35977</v>
      </c>
      <c r="P44" s="238"/>
      <c r="Q44" s="235">
        <v>1734</v>
      </c>
      <c r="R44" s="252">
        <v>5</v>
      </c>
      <c r="S44" s="352"/>
      <c r="T44" s="251" t="s">
        <v>512</v>
      </c>
      <c r="U44" s="251">
        <v>1</v>
      </c>
      <c r="V44" s="353"/>
      <c r="W44" s="353"/>
      <c r="X44" s="242"/>
      <c r="Y44" s="242"/>
      <c r="Z44" s="242"/>
      <c r="AA44" s="242"/>
      <c r="AB44" s="242"/>
    </row>
    <row r="45" spans="1:28" ht="132.75" customHeight="1" x14ac:dyDescent="0.35">
      <c r="B45" s="166" t="s">
        <v>507</v>
      </c>
      <c r="C45" s="207" t="s">
        <v>485</v>
      </c>
      <c r="D45" s="250">
        <v>2606.982</v>
      </c>
      <c r="E45" s="250">
        <v>473.12299999999993</v>
      </c>
      <c r="F45" s="250">
        <v>2571.4499999999998</v>
      </c>
      <c r="G45" s="250"/>
      <c r="H45" s="250">
        <v>368.38800000000003</v>
      </c>
      <c r="I45" s="250">
        <v>368.38800000000003</v>
      </c>
      <c r="J45" s="250">
        <v>5651.5550000000003</v>
      </c>
      <c r="K45" s="250">
        <v>1657.09824</v>
      </c>
      <c r="L45" s="351">
        <v>240</v>
      </c>
      <c r="M45" s="250" t="s">
        <v>387</v>
      </c>
      <c r="N45" s="235" t="s">
        <v>365</v>
      </c>
      <c r="O45" s="211">
        <v>33493</v>
      </c>
      <c r="P45" s="238"/>
      <c r="Q45" s="235">
        <v>1734</v>
      </c>
      <c r="R45" s="252">
        <v>10</v>
      </c>
      <c r="S45" s="352"/>
      <c r="T45" s="251" t="s">
        <v>513</v>
      </c>
      <c r="U45" s="251">
        <v>8</v>
      </c>
      <c r="V45" s="353"/>
      <c r="W45" s="353"/>
      <c r="X45" s="242"/>
      <c r="Y45" s="242"/>
      <c r="Z45" s="242"/>
      <c r="AA45" s="242"/>
      <c r="AB45" s="242"/>
    </row>
    <row r="46" spans="1:28" ht="156.75" customHeight="1" x14ac:dyDescent="0.35">
      <c r="B46" s="166" t="s">
        <v>507</v>
      </c>
      <c r="C46" s="207" t="s">
        <v>485</v>
      </c>
      <c r="D46" s="250">
        <v>2118.288</v>
      </c>
      <c r="E46" s="250">
        <v>215.75200000000001</v>
      </c>
      <c r="F46" s="250">
        <v>0</v>
      </c>
      <c r="G46" s="250"/>
      <c r="H46" s="250">
        <v>150.29400000000001</v>
      </c>
      <c r="I46" s="250">
        <v>150.29400000000001</v>
      </c>
      <c r="J46" s="250">
        <v>2334.04</v>
      </c>
      <c r="K46" s="250">
        <v>677.85216000000003</v>
      </c>
      <c r="L46" s="351">
        <v>0</v>
      </c>
      <c r="M46" s="250" t="s">
        <v>390</v>
      </c>
      <c r="N46" s="235" t="s">
        <v>365</v>
      </c>
      <c r="O46" s="211">
        <v>42401</v>
      </c>
      <c r="P46" s="238"/>
      <c r="Q46" s="235">
        <v>1734</v>
      </c>
      <c r="R46" s="252">
        <v>10</v>
      </c>
      <c r="S46" s="352"/>
      <c r="T46" s="251" t="s">
        <v>514</v>
      </c>
      <c r="U46" s="251">
        <v>4</v>
      </c>
      <c r="V46" s="353"/>
      <c r="W46" s="353"/>
      <c r="X46" s="242"/>
      <c r="Y46" s="242"/>
      <c r="Z46" s="242"/>
      <c r="AA46" s="242"/>
      <c r="AB46" s="242"/>
    </row>
    <row r="47" spans="1:28" ht="146.25" customHeight="1" x14ac:dyDescent="0.35">
      <c r="B47" s="166" t="s">
        <v>507</v>
      </c>
      <c r="C47" s="207" t="s">
        <v>485</v>
      </c>
      <c r="D47" s="250">
        <v>3013.0940000000001</v>
      </c>
      <c r="E47" s="250">
        <v>117.37100000000001</v>
      </c>
      <c r="F47" s="250">
        <v>1091.7759999999994</v>
      </c>
      <c r="G47" s="250"/>
      <c r="H47" s="250">
        <v>289.33499999999998</v>
      </c>
      <c r="I47" s="250">
        <v>289.33499999999998</v>
      </c>
      <c r="J47" s="250">
        <v>4222.241</v>
      </c>
      <c r="K47" s="250">
        <v>1313.5583999999999</v>
      </c>
      <c r="L47" s="351">
        <v>0</v>
      </c>
      <c r="M47" s="250" t="s">
        <v>387</v>
      </c>
      <c r="N47" s="235" t="s">
        <v>365</v>
      </c>
      <c r="O47" s="211">
        <v>42509</v>
      </c>
      <c r="P47" s="238"/>
      <c r="Q47" s="235">
        <v>1734</v>
      </c>
      <c r="R47" s="252">
        <v>10</v>
      </c>
      <c r="S47" s="352"/>
      <c r="T47" s="251" t="s">
        <v>515</v>
      </c>
      <c r="U47" s="251">
        <v>7</v>
      </c>
      <c r="V47" s="353"/>
      <c r="W47" s="353"/>
      <c r="X47" s="242"/>
      <c r="Y47" s="242"/>
      <c r="Z47" s="242"/>
      <c r="AA47" s="242"/>
      <c r="AB47" s="242"/>
    </row>
    <row r="48" spans="1:28" ht="153" customHeight="1" x14ac:dyDescent="0.35">
      <c r="B48" s="166" t="s">
        <v>507</v>
      </c>
      <c r="C48" s="207" t="s">
        <v>485</v>
      </c>
      <c r="D48" s="250">
        <v>3247</v>
      </c>
      <c r="E48" s="250">
        <v>204.42800000000003</v>
      </c>
      <c r="F48" s="250">
        <v>993.11800000000005</v>
      </c>
      <c r="G48" s="250"/>
      <c r="H48" s="250">
        <v>300.84100000000001</v>
      </c>
      <c r="I48" s="250">
        <v>300.84100000000001</v>
      </c>
      <c r="J48" s="250">
        <v>4444.5460000000003</v>
      </c>
      <c r="K48" s="250">
        <v>1356.8377599999999</v>
      </c>
      <c r="L48" s="351">
        <v>0</v>
      </c>
      <c r="M48" s="250" t="s">
        <v>387</v>
      </c>
      <c r="N48" s="235" t="s">
        <v>365</v>
      </c>
      <c r="O48" s="211">
        <v>42522</v>
      </c>
      <c r="P48" s="238"/>
      <c r="Q48" s="235">
        <v>1734</v>
      </c>
      <c r="R48" s="252">
        <v>10</v>
      </c>
      <c r="S48" s="352"/>
      <c r="T48" s="251" t="s">
        <v>516</v>
      </c>
      <c r="U48" s="251">
        <v>1</v>
      </c>
      <c r="V48" s="353"/>
      <c r="W48" s="353"/>
      <c r="X48" s="242"/>
      <c r="Y48" s="242"/>
      <c r="Z48" s="242"/>
      <c r="AA48" s="242"/>
      <c r="AB48" s="242"/>
    </row>
    <row r="49" spans="2:29" ht="137.25" customHeight="1" x14ac:dyDescent="0.35">
      <c r="B49" s="166" t="s">
        <v>507</v>
      </c>
      <c r="C49" s="207" t="s">
        <v>485</v>
      </c>
      <c r="D49" s="250">
        <v>2230.2219999999998</v>
      </c>
      <c r="E49" s="250">
        <v>225.20100000000002</v>
      </c>
      <c r="F49" s="250">
        <v>429.92600000000022</v>
      </c>
      <c r="G49" s="250"/>
      <c r="H49" s="250">
        <v>186.48600000000002</v>
      </c>
      <c r="I49" s="250">
        <v>186.48600000000002</v>
      </c>
      <c r="J49" s="250">
        <v>2885.3489999999997</v>
      </c>
      <c r="K49" s="250">
        <v>851.24735999999996</v>
      </c>
      <c r="L49" s="351">
        <v>0</v>
      </c>
      <c r="M49" s="250" t="s">
        <v>387</v>
      </c>
      <c r="N49" s="235" t="s">
        <v>365</v>
      </c>
      <c r="O49" s="211">
        <v>44503</v>
      </c>
      <c r="P49" s="238"/>
      <c r="Q49" s="235">
        <v>1734</v>
      </c>
      <c r="R49" s="252">
        <v>10</v>
      </c>
      <c r="S49" s="352"/>
      <c r="T49" s="251" t="s">
        <v>509</v>
      </c>
      <c r="U49" s="251">
        <v>8</v>
      </c>
      <c r="V49" s="353"/>
      <c r="W49" s="353"/>
      <c r="X49" s="242"/>
      <c r="Y49" s="242"/>
      <c r="Z49" s="242"/>
      <c r="AA49" s="242"/>
      <c r="AB49" s="242"/>
    </row>
    <row r="50" spans="2:29" x14ac:dyDescent="0.35">
      <c r="B50" s="254"/>
      <c r="Y50" s="253"/>
      <c r="Z50" s="253"/>
      <c r="AA50" s="253"/>
      <c r="AB50" s="253"/>
      <c r="AC50" s="253"/>
    </row>
    <row r="51" spans="2:29" x14ac:dyDescent="0.35">
      <c r="B51" s="254"/>
      <c r="Y51" s="253"/>
      <c r="Z51" s="253"/>
      <c r="AA51" s="253"/>
      <c r="AB51" s="253"/>
      <c r="AC51" s="253"/>
    </row>
    <row r="52" spans="2:29" ht="19" thickBot="1" x14ac:dyDescent="0.5">
      <c r="B52" s="273" t="s">
        <v>17</v>
      </c>
      <c r="C52" s="213"/>
    </row>
    <row r="53" spans="2:29" ht="33.75" customHeight="1" x14ac:dyDescent="0.35">
      <c r="B53" s="19" t="s">
        <v>344</v>
      </c>
      <c r="C53" s="19" t="s">
        <v>2</v>
      </c>
      <c r="D53" s="19" t="s">
        <v>21</v>
      </c>
      <c r="E53" s="19" t="s">
        <v>1</v>
      </c>
      <c r="F53" s="19" t="s">
        <v>22</v>
      </c>
      <c r="G53" s="19" t="s">
        <v>14</v>
      </c>
      <c r="H53" s="19" t="s">
        <v>18</v>
      </c>
      <c r="I53" s="19" t="s">
        <v>15</v>
      </c>
      <c r="J53" s="19" t="s">
        <v>10</v>
      </c>
      <c r="K53" s="19" t="s">
        <v>23</v>
      </c>
      <c r="L53" s="19" t="s">
        <v>16</v>
      </c>
      <c r="M53" s="19" t="s">
        <v>3</v>
      </c>
      <c r="N53" s="19" t="s">
        <v>11</v>
      </c>
      <c r="O53" s="19" t="s">
        <v>4</v>
      </c>
      <c r="P53" s="19" t="s">
        <v>5</v>
      </c>
      <c r="Q53" s="19" t="s">
        <v>24</v>
      </c>
      <c r="R53" s="19" t="s">
        <v>25</v>
      </c>
      <c r="S53" s="19" t="s">
        <v>26</v>
      </c>
      <c r="T53" s="19" t="s">
        <v>27</v>
      </c>
      <c r="U53" s="19" t="s">
        <v>6</v>
      </c>
      <c r="V53" s="19" t="s">
        <v>7</v>
      </c>
      <c r="W53" s="19" t="s">
        <v>28</v>
      </c>
      <c r="X53" s="19" t="s">
        <v>29</v>
      </c>
      <c r="Y53" s="19" t="s">
        <v>30</v>
      </c>
      <c r="Z53" s="19" t="s">
        <v>31</v>
      </c>
      <c r="AA53" s="57" t="s">
        <v>8</v>
      </c>
      <c r="AB53" s="57" t="s">
        <v>9</v>
      </c>
    </row>
    <row r="54" spans="2:29" ht="29" x14ac:dyDescent="0.35">
      <c r="B54" s="235"/>
      <c r="C54" s="226" t="s">
        <v>485</v>
      </c>
      <c r="D54" s="236">
        <v>0</v>
      </c>
      <c r="E54" s="236">
        <v>0</v>
      </c>
      <c r="F54" s="236">
        <v>0</v>
      </c>
      <c r="G54" s="236"/>
      <c r="H54" s="236">
        <v>0</v>
      </c>
      <c r="I54" s="236">
        <v>0</v>
      </c>
      <c r="J54" s="236">
        <v>0</v>
      </c>
      <c r="K54" s="236">
        <v>0</v>
      </c>
      <c r="L54" s="236">
        <v>0</v>
      </c>
      <c r="M54" s="236" t="s">
        <v>391</v>
      </c>
      <c r="N54" s="235" t="s">
        <v>365</v>
      </c>
      <c r="O54" s="211">
        <v>40673</v>
      </c>
      <c r="P54" s="238"/>
      <c r="Q54" s="235">
        <v>1734</v>
      </c>
      <c r="R54" s="235">
        <v>50.87</v>
      </c>
      <c r="S54" s="352"/>
      <c r="T54" s="241" t="s">
        <v>487</v>
      </c>
      <c r="U54" s="241">
        <v>4</v>
      </c>
      <c r="V54" s="353"/>
      <c r="W54" s="243"/>
      <c r="X54" s="242"/>
      <c r="Y54" s="242"/>
      <c r="Z54" s="242"/>
      <c r="AA54" s="242"/>
      <c r="AB54" s="243" t="s">
        <v>517</v>
      </c>
    </row>
    <row r="55" spans="2:29" ht="29" x14ac:dyDescent="0.35">
      <c r="B55" s="235"/>
      <c r="C55" s="226" t="s">
        <v>485</v>
      </c>
      <c r="D55" s="236">
        <v>0</v>
      </c>
      <c r="E55" s="236">
        <v>0</v>
      </c>
      <c r="F55" s="236">
        <v>0</v>
      </c>
      <c r="G55" s="236"/>
      <c r="H55" s="236">
        <v>0</v>
      </c>
      <c r="I55" s="236">
        <v>0</v>
      </c>
      <c r="J55" s="236">
        <v>0</v>
      </c>
      <c r="K55" s="236">
        <v>0</v>
      </c>
      <c r="L55" s="236">
        <v>0</v>
      </c>
      <c r="M55" s="236" t="s">
        <v>518</v>
      </c>
      <c r="N55" s="235" t="s">
        <v>365</v>
      </c>
      <c r="O55" s="211">
        <v>42422</v>
      </c>
      <c r="P55" s="238"/>
      <c r="Q55" s="235">
        <v>1734</v>
      </c>
      <c r="R55" s="235">
        <v>100</v>
      </c>
      <c r="S55" s="352"/>
      <c r="T55" s="241" t="s">
        <v>501</v>
      </c>
      <c r="U55" s="241">
        <v>9</v>
      </c>
      <c r="V55" s="353"/>
      <c r="W55" s="243"/>
      <c r="X55" s="242"/>
      <c r="Y55" s="242"/>
      <c r="Z55" s="242"/>
      <c r="AA55" s="242"/>
      <c r="AB55" s="243" t="s">
        <v>517</v>
      </c>
    </row>
    <row r="56" spans="2:29" x14ac:dyDescent="0.35">
      <c r="B56" s="235"/>
      <c r="C56" s="255"/>
      <c r="D56" s="236"/>
      <c r="E56" s="236"/>
      <c r="F56" s="236"/>
      <c r="G56" s="236"/>
      <c r="H56" s="236"/>
      <c r="I56" s="236"/>
      <c r="J56" s="236"/>
      <c r="K56" s="236"/>
      <c r="L56" s="235"/>
      <c r="M56" s="235"/>
      <c r="N56" s="235"/>
      <c r="O56" s="212"/>
      <c r="P56" s="251"/>
      <c r="Q56" s="239"/>
      <c r="R56" s="239"/>
      <c r="S56" s="239"/>
      <c r="T56" s="241"/>
      <c r="U56" s="241"/>
      <c r="V56" s="174"/>
      <c r="W56" s="242"/>
      <c r="X56" s="242"/>
      <c r="Y56" s="242"/>
      <c r="Z56" s="242"/>
      <c r="AA56" s="242"/>
      <c r="AB56" s="242"/>
    </row>
    <row r="57" spans="2:29" x14ac:dyDescent="0.35">
      <c r="B57" s="235"/>
      <c r="C57" s="255"/>
      <c r="D57" s="236"/>
      <c r="E57" s="236"/>
      <c r="F57" s="236"/>
      <c r="G57" s="236"/>
      <c r="H57" s="236"/>
      <c r="I57" s="236"/>
      <c r="J57" s="236"/>
      <c r="K57" s="236"/>
      <c r="L57" s="235"/>
      <c r="M57" s="235"/>
      <c r="N57" s="235"/>
      <c r="O57" s="212"/>
      <c r="P57" s="251"/>
      <c r="Q57" s="239"/>
      <c r="R57" s="239"/>
      <c r="S57" s="239"/>
      <c r="T57" s="241"/>
      <c r="U57" s="241"/>
      <c r="V57" s="174"/>
      <c r="W57" s="242"/>
      <c r="X57" s="242"/>
      <c r="Y57" s="242"/>
      <c r="Z57" s="242"/>
      <c r="AA57" s="242"/>
      <c r="AB57" s="242"/>
    </row>
    <row r="58" spans="2:29" x14ac:dyDescent="0.35">
      <c r="B58" s="80"/>
      <c r="C58" s="256"/>
      <c r="D58" s="257"/>
      <c r="E58" s="257"/>
      <c r="F58" s="257"/>
      <c r="G58" s="257"/>
      <c r="H58" s="257"/>
      <c r="I58" s="257"/>
      <c r="J58" s="257"/>
      <c r="K58" s="257"/>
      <c r="L58" s="80"/>
      <c r="M58" s="80"/>
      <c r="N58" s="80"/>
      <c r="O58" s="165"/>
      <c r="P58" s="258"/>
      <c r="Q58" s="259"/>
      <c r="R58" s="259"/>
      <c r="S58" s="259"/>
      <c r="T58" s="260"/>
      <c r="U58" s="260"/>
      <c r="V58" s="16"/>
      <c r="W58" s="261"/>
      <c r="X58" s="261"/>
      <c r="Y58" s="261"/>
      <c r="Z58" s="261"/>
      <c r="AA58" s="261"/>
      <c r="AB58" s="261"/>
    </row>
    <row r="59" spans="2:29" x14ac:dyDescent="0.35">
      <c r="B59" s="262"/>
      <c r="C59" s="262"/>
      <c r="D59" s="263"/>
      <c r="E59" s="264"/>
      <c r="F59" s="264"/>
      <c r="G59" s="264"/>
      <c r="H59" s="264"/>
      <c r="I59" s="264"/>
      <c r="J59" s="264"/>
      <c r="K59" s="264"/>
      <c r="L59" s="264"/>
      <c r="M59" s="262"/>
      <c r="N59" s="262"/>
      <c r="O59" s="262"/>
      <c r="P59" s="265"/>
      <c r="Q59" s="266"/>
      <c r="R59" s="267"/>
      <c r="S59" s="267"/>
      <c r="T59" s="267"/>
      <c r="U59" s="268"/>
      <c r="V59" s="268"/>
      <c r="W59" s="134"/>
      <c r="X59" s="253"/>
      <c r="Y59" s="253"/>
      <c r="Z59" s="253"/>
      <c r="AA59" s="253"/>
      <c r="AB59" s="253"/>
      <c r="AC59" s="253"/>
    </row>
    <row r="60" spans="2:29" x14ac:dyDescent="0.35">
      <c r="B60" s="262"/>
      <c r="C60" s="262"/>
      <c r="D60" s="263"/>
      <c r="E60" s="264"/>
      <c r="F60" s="264"/>
      <c r="G60" s="264"/>
      <c r="H60" s="264"/>
      <c r="I60" s="264"/>
      <c r="J60" s="264"/>
      <c r="K60" s="264"/>
      <c r="L60" s="264"/>
      <c r="M60" s="262"/>
      <c r="N60" s="262"/>
      <c r="O60" s="262"/>
      <c r="P60" s="265"/>
      <c r="Q60" s="266"/>
      <c r="R60" s="267"/>
      <c r="S60" s="267"/>
      <c r="T60" s="267"/>
      <c r="U60" s="268"/>
      <c r="V60" s="268"/>
      <c r="W60" s="134"/>
      <c r="X60" s="253"/>
      <c r="Y60" s="253"/>
      <c r="Z60" s="253"/>
      <c r="AA60" s="253"/>
      <c r="AB60" s="253"/>
      <c r="AC60" s="253"/>
    </row>
  </sheetData>
  <mergeCells count="1">
    <mergeCell ref="C4:E4"/>
  </mergeCells>
  <pageMargins left="0.7" right="0.7" top="0.75" bottom="0.75" header="0.3" footer="0.3"/>
  <pageSetup paperSize="9" scale="1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C62"/>
  <sheetViews>
    <sheetView zoomScaleNormal="100" workbookViewId="0">
      <pane xSplit="2" ySplit="9" topLeftCell="C10" activePane="bottomRight" state="frozen"/>
      <selection activeCell="L5" sqref="L5"/>
      <selection pane="topRight" activeCell="L5" sqref="L5"/>
      <selection pane="bottomLeft" activeCell="L5" sqref="L5"/>
      <selection pane="bottomRight" activeCell="B63" sqref="B63"/>
    </sheetView>
  </sheetViews>
  <sheetFormatPr defaultColWidth="11.453125" defaultRowHeight="14.5" x14ac:dyDescent="0.35"/>
  <cols>
    <col min="1" max="1" width="9.7265625" bestFit="1" customWidth="1"/>
    <col min="2" max="2" width="29.81640625" customWidth="1"/>
    <col min="3" max="3" width="14.81640625" customWidth="1"/>
    <col min="4" max="4" width="12.7265625" customWidth="1"/>
    <col min="5" max="5" width="25.54296875" customWidth="1"/>
    <col min="6" max="30" width="16.7265625" customWidth="1"/>
  </cols>
  <sheetData>
    <row r="2" spans="2:28" ht="18.5" x14ac:dyDescent="0.45">
      <c r="B2" s="18" t="s">
        <v>13</v>
      </c>
      <c r="C2" s="1"/>
    </row>
    <row r="3" spans="2:28" x14ac:dyDescent="0.35">
      <c r="B3" s="23"/>
      <c r="C3" s="23"/>
      <c r="F3" s="23"/>
      <c r="G3" s="208"/>
      <c r="Q3" s="23"/>
      <c r="R3" s="23"/>
      <c r="S3" s="23"/>
    </row>
    <row r="4" spans="2:28" ht="15.5" x14ac:dyDescent="0.35">
      <c r="B4" s="62" t="s">
        <v>12</v>
      </c>
      <c r="C4" s="144" t="s">
        <v>481</v>
      </c>
      <c r="D4" s="145"/>
      <c r="E4" s="146"/>
      <c r="G4" s="208"/>
      <c r="Q4" s="23"/>
      <c r="R4" s="23"/>
      <c r="S4" s="23"/>
    </row>
    <row r="5" spans="2:28" ht="15.5" x14ac:dyDescent="0.35">
      <c r="B5" s="62" t="s">
        <v>20</v>
      </c>
      <c r="C5" s="144" t="s">
        <v>482</v>
      </c>
      <c r="D5" s="145"/>
      <c r="E5" s="147"/>
      <c r="Q5" s="23"/>
      <c r="R5" s="23"/>
      <c r="S5" s="23"/>
    </row>
    <row r="6" spans="2:28" ht="15" customHeight="1" x14ac:dyDescent="0.35">
      <c r="B6" s="64" t="s">
        <v>19</v>
      </c>
      <c r="C6" s="144" t="s">
        <v>519</v>
      </c>
      <c r="D6" s="145"/>
      <c r="E6" s="147"/>
      <c r="Q6" s="23"/>
      <c r="R6" s="23"/>
      <c r="S6" s="23"/>
    </row>
    <row r="7" spans="2:28" ht="15.5" x14ac:dyDescent="0.35">
      <c r="B7" s="62" t="s">
        <v>32</v>
      </c>
      <c r="C7" s="148" t="s">
        <v>484</v>
      </c>
      <c r="D7" s="103"/>
      <c r="E7" s="149"/>
    </row>
    <row r="8" spans="2:28" ht="16" thickBot="1" x14ac:dyDescent="0.4">
      <c r="B8" s="70"/>
      <c r="C8" s="103"/>
      <c r="D8" s="103"/>
    </row>
    <row r="9" spans="2:28" ht="42" x14ac:dyDescent="0.35">
      <c r="B9" s="19" t="s">
        <v>344</v>
      </c>
      <c r="C9" s="19" t="s">
        <v>2</v>
      </c>
      <c r="D9" s="19" t="s">
        <v>21</v>
      </c>
      <c r="E9" s="19" t="s">
        <v>1</v>
      </c>
      <c r="F9" s="19" t="s">
        <v>22</v>
      </c>
      <c r="G9" s="19" t="s">
        <v>14</v>
      </c>
      <c r="H9" s="19" t="s">
        <v>18</v>
      </c>
      <c r="I9" s="19" t="s">
        <v>15</v>
      </c>
      <c r="J9" s="19" t="s">
        <v>10</v>
      </c>
      <c r="K9" s="19" t="s">
        <v>23</v>
      </c>
      <c r="L9" s="19" t="s">
        <v>16</v>
      </c>
      <c r="M9" s="19" t="s">
        <v>3</v>
      </c>
      <c r="N9" s="19" t="s">
        <v>11</v>
      </c>
      <c r="O9" s="19" t="s">
        <v>4</v>
      </c>
      <c r="P9" s="19" t="s">
        <v>5</v>
      </c>
      <c r="Q9" s="19" t="s">
        <v>24</v>
      </c>
      <c r="R9" s="19" t="s">
        <v>25</v>
      </c>
      <c r="S9" s="19" t="s">
        <v>26</v>
      </c>
      <c r="T9" s="19" t="s">
        <v>27</v>
      </c>
      <c r="U9" s="19" t="s">
        <v>6</v>
      </c>
      <c r="V9" s="19" t="s">
        <v>7</v>
      </c>
      <c r="W9" s="19" t="s">
        <v>28</v>
      </c>
      <c r="X9" s="19" t="s">
        <v>29</v>
      </c>
      <c r="Y9" s="19" t="s">
        <v>30</v>
      </c>
      <c r="Z9" s="19" t="s">
        <v>31</v>
      </c>
      <c r="AA9" s="57" t="s">
        <v>8</v>
      </c>
      <c r="AB9" s="57" t="s">
        <v>9</v>
      </c>
    </row>
    <row r="10" spans="2:28" ht="36" x14ac:dyDescent="0.35">
      <c r="B10" s="4"/>
      <c r="C10" s="203" t="s">
        <v>485</v>
      </c>
      <c r="D10" s="365">
        <v>7934.6399999999994</v>
      </c>
      <c r="E10" s="365">
        <v>448.81000000000006</v>
      </c>
      <c r="F10" s="365">
        <v>1657.1800000000003</v>
      </c>
      <c r="G10" s="365"/>
      <c r="H10" s="365">
        <v>661.43000000000006</v>
      </c>
      <c r="I10" s="365">
        <v>661.43000000000006</v>
      </c>
      <c r="J10" s="365">
        <v>10040.629999999999</v>
      </c>
      <c r="K10" s="365">
        <v>3069.3824</v>
      </c>
      <c r="L10" s="363">
        <v>0</v>
      </c>
      <c r="M10" s="275" t="s">
        <v>520</v>
      </c>
      <c r="N10" s="275" t="s">
        <v>521</v>
      </c>
      <c r="O10" s="366">
        <v>33651</v>
      </c>
      <c r="P10" s="383">
        <v>45783</v>
      </c>
      <c r="Q10" s="275">
        <v>1734</v>
      </c>
      <c r="R10" s="275">
        <v>25</v>
      </c>
      <c r="S10" s="275"/>
      <c r="T10" s="74" t="s">
        <v>488</v>
      </c>
      <c r="U10" s="74">
        <v>2</v>
      </c>
      <c r="V10" s="293"/>
      <c r="W10" s="281"/>
      <c r="X10" s="281" t="s">
        <v>0</v>
      </c>
      <c r="Y10" s="281"/>
      <c r="Z10" s="281"/>
      <c r="AA10" s="281"/>
      <c r="AB10" s="281"/>
    </row>
    <row r="11" spans="2:28" ht="36" x14ac:dyDescent="0.35">
      <c r="B11" s="11"/>
      <c r="C11" s="203" t="s">
        <v>485</v>
      </c>
      <c r="D11" s="340">
        <v>22607.48</v>
      </c>
      <c r="E11" s="340">
        <v>2462.4900000000002</v>
      </c>
      <c r="F11" s="340">
        <v>386.82000000000335</v>
      </c>
      <c r="G11" s="340"/>
      <c r="H11" s="340">
        <v>1642.4500000000003</v>
      </c>
      <c r="I11" s="340">
        <v>1642.4500000000003</v>
      </c>
      <c r="J11" s="340">
        <v>25456.790000000005</v>
      </c>
      <c r="K11" s="340">
        <v>7358.1760000000013</v>
      </c>
      <c r="L11" s="364">
        <v>0</v>
      </c>
      <c r="M11" s="80" t="s">
        <v>387</v>
      </c>
      <c r="N11" s="80" t="s">
        <v>365</v>
      </c>
      <c r="O11" s="164">
        <v>38899</v>
      </c>
      <c r="P11" s="378"/>
      <c r="Q11" s="80">
        <v>1734</v>
      </c>
      <c r="R11" s="80">
        <v>100</v>
      </c>
      <c r="S11" s="80"/>
      <c r="T11" s="258" t="s">
        <v>487</v>
      </c>
      <c r="U11" s="258">
        <v>4</v>
      </c>
      <c r="V11" s="203"/>
      <c r="W11" s="261"/>
      <c r="X11" s="261"/>
      <c r="Y11" s="261"/>
      <c r="Z11" s="261"/>
      <c r="AA11" s="261"/>
      <c r="AB11" s="261"/>
    </row>
    <row r="12" spans="2:28" ht="36" x14ac:dyDescent="0.35">
      <c r="B12" s="11"/>
      <c r="C12" s="203" t="s">
        <v>485</v>
      </c>
      <c r="D12" s="340">
        <v>22965.120000000003</v>
      </c>
      <c r="E12" s="340">
        <v>1422.8500000000001</v>
      </c>
      <c r="F12" s="340">
        <v>386.81999999999971</v>
      </c>
      <c r="G12" s="340"/>
      <c r="H12" s="340">
        <v>1647.75</v>
      </c>
      <c r="I12" s="340">
        <v>1647.75</v>
      </c>
      <c r="J12" s="340">
        <v>24774.79</v>
      </c>
      <c r="K12" s="340">
        <v>7472.6208000000006</v>
      </c>
      <c r="L12" s="364">
        <v>0</v>
      </c>
      <c r="M12" s="80" t="s">
        <v>387</v>
      </c>
      <c r="N12" s="80" t="s">
        <v>365</v>
      </c>
      <c r="O12" s="164">
        <v>38320</v>
      </c>
      <c r="P12" s="378"/>
      <c r="Q12" s="80">
        <v>1734</v>
      </c>
      <c r="R12" s="80">
        <v>100</v>
      </c>
      <c r="S12" s="80"/>
      <c r="T12" s="258" t="s">
        <v>487</v>
      </c>
      <c r="U12" s="258">
        <v>4</v>
      </c>
      <c r="V12" s="203"/>
      <c r="W12" s="261"/>
      <c r="X12" s="261"/>
      <c r="Y12" s="261"/>
      <c r="Z12" s="261"/>
      <c r="AA12" s="261"/>
      <c r="AB12" s="261"/>
    </row>
    <row r="13" spans="2:28" ht="36" x14ac:dyDescent="0.35">
      <c r="B13" s="11"/>
      <c r="C13" s="203" t="s">
        <v>485</v>
      </c>
      <c r="D13" s="340">
        <v>23826.74</v>
      </c>
      <c r="E13" s="340">
        <v>2514.37</v>
      </c>
      <c r="F13" s="340">
        <v>386.81999999999971</v>
      </c>
      <c r="G13" s="340"/>
      <c r="H13" s="340">
        <v>1705.8400000000001</v>
      </c>
      <c r="I13" s="340">
        <v>1705.8400000000001</v>
      </c>
      <c r="J13" s="340">
        <v>26727.93</v>
      </c>
      <c r="K13" s="340">
        <v>7748.3392000000003</v>
      </c>
      <c r="L13" s="364">
        <v>0</v>
      </c>
      <c r="M13" s="80" t="s">
        <v>387</v>
      </c>
      <c r="N13" s="80" t="s">
        <v>365</v>
      </c>
      <c r="O13" s="164">
        <v>33329</v>
      </c>
      <c r="P13" s="378"/>
      <c r="Q13" s="80">
        <v>1734</v>
      </c>
      <c r="R13" s="80">
        <v>100</v>
      </c>
      <c r="S13" s="80"/>
      <c r="T13" s="258" t="s">
        <v>487</v>
      </c>
      <c r="U13" s="258">
        <v>4</v>
      </c>
      <c r="V13" s="203"/>
      <c r="W13" s="261"/>
      <c r="X13" s="261"/>
      <c r="Y13" s="261"/>
      <c r="Z13" s="261"/>
      <c r="AA13" s="261"/>
      <c r="AB13" s="261"/>
    </row>
    <row r="14" spans="2:28" ht="36" x14ac:dyDescent="0.35">
      <c r="B14" s="11"/>
      <c r="C14" s="203" t="s">
        <v>485</v>
      </c>
      <c r="D14" s="340">
        <v>30740.639999999999</v>
      </c>
      <c r="E14" s="340">
        <v>4705.66</v>
      </c>
      <c r="F14" s="340">
        <v>11628.479999999996</v>
      </c>
      <c r="G14" s="340"/>
      <c r="H14" s="340">
        <v>2645.52</v>
      </c>
      <c r="I14" s="340">
        <v>2645.52</v>
      </c>
      <c r="J14" s="340">
        <v>47074.78</v>
      </c>
      <c r="K14" s="340">
        <v>13558.118399999999</v>
      </c>
      <c r="L14" s="364">
        <v>3500</v>
      </c>
      <c r="M14" s="80" t="s">
        <v>387</v>
      </c>
      <c r="N14" s="80" t="s">
        <v>365</v>
      </c>
      <c r="O14" s="164">
        <v>32804</v>
      </c>
      <c r="P14" s="378"/>
      <c r="Q14" s="80">
        <v>1734</v>
      </c>
      <c r="R14" s="80">
        <v>100</v>
      </c>
      <c r="S14" s="80"/>
      <c r="T14" s="258" t="s">
        <v>522</v>
      </c>
      <c r="U14" s="258">
        <v>2</v>
      </c>
      <c r="V14" s="203"/>
      <c r="W14" s="261"/>
      <c r="X14" s="261"/>
      <c r="Y14" s="261"/>
      <c r="Z14" s="261"/>
      <c r="AA14" s="261"/>
      <c r="AB14" s="261"/>
    </row>
    <row r="15" spans="2:28" ht="36" x14ac:dyDescent="0.35">
      <c r="B15" s="11"/>
      <c r="C15" s="203" t="s">
        <v>485</v>
      </c>
      <c r="D15" s="340">
        <v>30438.699999999997</v>
      </c>
      <c r="E15" s="340">
        <v>3271.4100000000003</v>
      </c>
      <c r="F15" s="340">
        <v>6628.4400000000023</v>
      </c>
      <c r="G15" s="340"/>
      <c r="H15" s="340">
        <v>2613.8299999999995</v>
      </c>
      <c r="I15" s="340">
        <v>2613.8299999999995</v>
      </c>
      <c r="J15" s="340">
        <v>40338.550000000003</v>
      </c>
      <c r="K15" s="340">
        <v>11861.4848</v>
      </c>
      <c r="L15" s="364">
        <v>0</v>
      </c>
      <c r="M15" s="80" t="s">
        <v>387</v>
      </c>
      <c r="N15" s="80" t="s">
        <v>365</v>
      </c>
      <c r="O15" s="164">
        <v>36526</v>
      </c>
      <c r="P15" s="378"/>
      <c r="Q15" s="80">
        <v>1734</v>
      </c>
      <c r="R15" s="80">
        <v>100</v>
      </c>
      <c r="S15" s="80"/>
      <c r="T15" s="258" t="s">
        <v>486</v>
      </c>
      <c r="U15" s="258">
        <v>2</v>
      </c>
      <c r="V15" s="203"/>
      <c r="W15" s="261"/>
      <c r="X15" s="261"/>
      <c r="Y15" s="261"/>
      <c r="Z15" s="261"/>
      <c r="AA15" s="261"/>
      <c r="AB15" s="261"/>
    </row>
    <row r="16" spans="2:28" ht="36" x14ac:dyDescent="0.35">
      <c r="B16" s="11"/>
      <c r="C16" s="203" t="s">
        <v>485</v>
      </c>
      <c r="D16" s="340">
        <v>29778.699999999997</v>
      </c>
      <c r="E16" s="340">
        <v>2168.4899999999998</v>
      </c>
      <c r="F16" s="340">
        <v>6628.4400000000023</v>
      </c>
      <c r="G16" s="340"/>
      <c r="H16" s="340">
        <v>2576.81</v>
      </c>
      <c r="I16" s="340">
        <v>2576.81</v>
      </c>
      <c r="J16" s="340">
        <v>38575.629999999997</v>
      </c>
      <c r="K16" s="340">
        <v>11650.284799999999</v>
      </c>
      <c r="L16" s="367">
        <v>0</v>
      </c>
      <c r="M16" s="340" t="s">
        <v>387</v>
      </c>
      <c r="N16" s="80" t="s">
        <v>365</v>
      </c>
      <c r="O16" s="164">
        <v>39184</v>
      </c>
      <c r="P16" s="378"/>
      <c r="Q16" s="80">
        <v>1734</v>
      </c>
      <c r="R16" s="80">
        <v>100</v>
      </c>
      <c r="S16" s="80"/>
      <c r="T16" s="258" t="s">
        <v>486</v>
      </c>
      <c r="U16" s="258">
        <v>2</v>
      </c>
      <c r="V16" s="368"/>
      <c r="W16" s="261"/>
      <c r="X16" s="261"/>
      <c r="Y16" s="261"/>
      <c r="Z16" s="261"/>
      <c r="AA16" s="261"/>
      <c r="AB16" s="261"/>
    </row>
    <row r="17" spans="2:28" ht="36" x14ac:dyDescent="0.35">
      <c r="B17" s="11"/>
      <c r="C17" s="203" t="s">
        <v>485</v>
      </c>
      <c r="D17" s="340">
        <v>21908.54</v>
      </c>
      <c r="E17" s="340">
        <v>7621.56</v>
      </c>
      <c r="F17" s="340">
        <v>381.91999999999825</v>
      </c>
      <c r="G17" s="340"/>
      <c r="H17" s="340">
        <v>1548.23</v>
      </c>
      <c r="I17" s="340">
        <v>1548.23</v>
      </c>
      <c r="J17" s="340">
        <v>29912.02</v>
      </c>
      <c r="K17" s="340">
        <v>7132.9471999999996</v>
      </c>
      <c r="L17" s="367">
        <v>0</v>
      </c>
      <c r="M17" s="340" t="s">
        <v>387</v>
      </c>
      <c r="N17" s="80" t="s">
        <v>365</v>
      </c>
      <c r="O17" s="164">
        <v>42387</v>
      </c>
      <c r="P17" s="378"/>
      <c r="Q17" s="80">
        <v>1734</v>
      </c>
      <c r="R17" s="80">
        <v>100</v>
      </c>
      <c r="S17" s="80"/>
      <c r="T17" s="258" t="s">
        <v>495</v>
      </c>
      <c r="U17" s="258">
        <v>4</v>
      </c>
      <c r="V17" s="368"/>
      <c r="W17" s="261"/>
      <c r="X17" s="261"/>
      <c r="Y17" s="261"/>
      <c r="Z17" s="261"/>
      <c r="AA17" s="261"/>
      <c r="AB17" s="261"/>
    </row>
    <row r="18" spans="2:28" ht="36" x14ac:dyDescent="0.35">
      <c r="B18" s="11"/>
      <c r="C18" s="203" t="s">
        <v>485</v>
      </c>
      <c r="D18" s="340">
        <v>22644.3</v>
      </c>
      <c r="E18" s="340">
        <v>2256.9899999999998</v>
      </c>
      <c r="F18" s="340">
        <v>386.82000000000335</v>
      </c>
      <c r="G18" s="340"/>
      <c r="H18" s="340">
        <v>1621.3799999999999</v>
      </c>
      <c r="I18" s="340">
        <v>1621.3799999999999</v>
      </c>
      <c r="J18" s="340">
        <v>25288.11</v>
      </c>
      <c r="K18" s="340">
        <v>7369.9584000000013</v>
      </c>
      <c r="L18" s="367">
        <v>0</v>
      </c>
      <c r="M18" s="340" t="s">
        <v>390</v>
      </c>
      <c r="N18" s="80" t="s">
        <v>365</v>
      </c>
      <c r="O18" s="164">
        <v>39995</v>
      </c>
      <c r="P18" s="378"/>
      <c r="Q18" s="80">
        <v>1734</v>
      </c>
      <c r="R18" s="80">
        <v>100</v>
      </c>
      <c r="S18" s="80"/>
      <c r="T18" s="258" t="s">
        <v>487</v>
      </c>
      <c r="U18" s="258">
        <v>4</v>
      </c>
      <c r="V18" s="368"/>
      <c r="W18" s="261"/>
      <c r="X18" s="261"/>
      <c r="Y18" s="261"/>
      <c r="Z18" s="261"/>
      <c r="AA18" s="261"/>
      <c r="AB18" s="261"/>
    </row>
    <row r="19" spans="2:28" ht="36" x14ac:dyDescent="0.35">
      <c r="B19" s="11"/>
      <c r="C19" s="203" t="s">
        <v>485</v>
      </c>
      <c r="D19" s="340">
        <v>28074.48</v>
      </c>
      <c r="E19" s="340">
        <v>3131.44</v>
      </c>
      <c r="F19" s="340">
        <v>22176.279999999995</v>
      </c>
      <c r="G19" s="340"/>
      <c r="H19" s="340">
        <v>3565.64</v>
      </c>
      <c r="I19" s="340">
        <v>3565.64</v>
      </c>
      <c r="J19" s="340">
        <v>53382.2</v>
      </c>
      <c r="K19" s="340">
        <v>16080.243199999999</v>
      </c>
      <c r="L19" s="367">
        <v>1615</v>
      </c>
      <c r="M19" s="340" t="s">
        <v>391</v>
      </c>
      <c r="N19" s="80" t="s">
        <v>365</v>
      </c>
      <c r="O19" s="164">
        <v>40087</v>
      </c>
      <c r="P19" s="378"/>
      <c r="Q19" s="80">
        <v>1734</v>
      </c>
      <c r="R19" s="80">
        <v>85</v>
      </c>
      <c r="S19" s="80"/>
      <c r="T19" s="258" t="s">
        <v>493</v>
      </c>
      <c r="U19" s="258">
        <v>1</v>
      </c>
      <c r="V19" s="368"/>
      <c r="W19" s="261"/>
      <c r="X19" s="261"/>
      <c r="Y19" s="261"/>
      <c r="Z19" s="261"/>
      <c r="AA19" s="261"/>
      <c r="AB19" s="261"/>
    </row>
    <row r="20" spans="2:28" ht="36" x14ac:dyDescent="0.35">
      <c r="B20" s="11"/>
      <c r="C20" s="203" t="s">
        <v>485</v>
      </c>
      <c r="D20" s="340">
        <v>32713.239999999998</v>
      </c>
      <c r="E20" s="340">
        <v>7729.3399999999992</v>
      </c>
      <c r="F20" s="340">
        <v>32089.700000000004</v>
      </c>
      <c r="G20" s="340"/>
      <c r="H20" s="340">
        <v>4200.21</v>
      </c>
      <c r="I20" s="340">
        <v>4200.21</v>
      </c>
      <c r="J20" s="340">
        <v>72532.28</v>
      </c>
      <c r="K20" s="340">
        <v>18126.72</v>
      </c>
      <c r="L20" s="367">
        <v>5500</v>
      </c>
      <c r="M20" s="340" t="s">
        <v>387</v>
      </c>
      <c r="N20" s="80" t="s">
        <v>365</v>
      </c>
      <c r="O20" s="164">
        <v>40330</v>
      </c>
      <c r="P20" s="378"/>
      <c r="Q20" s="80">
        <v>1734</v>
      </c>
      <c r="R20" s="80">
        <v>100</v>
      </c>
      <c r="S20" s="80"/>
      <c r="T20" s="258" t="s">
        <v>493</v>
      </c>
      <c r="U20" s="258">
        <v>1</v>
      </c>
      <c r="V20" s="368"/>
      <c r="W20" s="261"/>
      <c r="X20" s="261"/>
      <c r="Y20" s="261"/>
      <c r="Z20" s="261"/>
      <c r="AA20" s="261"/>
      <c r="AB20" s="261"/>
    </row>
    <row r="21" spans="2:28" ht="36" x14ac:dyDescent="0.35">
      <c r="B21" s="11"/>
      <c r="C21" s="203" t="s">
        <v>485</v>
      </c>
      <c r="D21" s="340">
        <v>29879.019999999997</v>
      </c>
      <c r="E21" s="340">
        <v>4037.1800000000003</v>
      </c>
      <c r="F21" s="340">
        <v>6628.4400000000023</v>
      </c>
      <c r="G21" s="340"/>
      <c r="H21" s="340">
        <v>2587.4299999999998</v>
      </c>
      <c r="I21" s="340">
        <v>2587.4299999999998</v>
      </c>
      <c r="J21" s="340">
        <v>40544.639999999999</v>
      </c>
      <c r="K21" s="340">
        <v>11682.387199999999</v>
      </c>
      <c r="L21" s="367">
        <v>0</v>
      </c>
      <c r="M21" s="340" t="s">
        <v>387</v>
      </c>
      <c r="N21" s="80" t="s">
        <v>365</v>
      </c>
      <c r="O21" s="164">
        <v>37354</v>
      </c>
      <c r="P21" s="378"/>
      <c r="Q21" s="80">
        <v>1734</v>
      </c>
      <c r="R21" s="80">
        <v>100</v>
      </c>
      <c r="S21" s="80"/>
      <c r="T21" s="258" t="s">
        <v>486</v>
      </c>
      <c r="U21" s="258">
        <v>2</v>
      </c>
      <c r="V21" s="368"/>
      <c r="W21" s="261"/>
      <c r="X21" s="261"/>
      <c r="Y21" s="261"/>
      <c r="Z21" s="261"/>
      <c r="AA21" s="261"/>
      <c r="AB21" s="261"/>
    </row>
    <row r="22" spans="2:28" ht="36" x14ac:dyDescent="0.35">
      <c r="B22" s="11"/>
      <c r="C22" s="203" t="s">
        <v>485</v>
      </c>
      <c r="D22" s="340">
        <v>29151.360000000001</v>
      </c>
      <c r="E22" s="340">
        <v>2621.88</v>
      </c>
      <c r="F22" s="340">
        <v>6628.4399999999951</v>
      </c>
      <c r="G22" s="340"/>
      <c r="H22" s="340">
        <v>2555.6999999999998</v>
      </c>
      <c r="I22" s="340">
        <v>2555.6999999999998</v>
      </c>
      <c r="J22" s="340">
        <v>38401.679999999993</v>
      </c>
      <c r="K22" s="340">
        <v>11449.535999999998</v>
      </c>
      <c r="L22" s="367">
        <v>0</v>
      </c>
      <c r="M22" s="340" t="s">
        <v>387</v>
      </c>
      <c r="N22" s="80" t="s">
        <v>365</v>
      </c>
      <c r="O22" s="164">
        <v>40695</v>
      </c>
      <c r="P22" s="378"/>
      <c r="Q22" s="80">
        <v>1734</v>
      </c>
      <c r="R22" s="80">
        <v>100</v>
      </c>
      <c r="S22" s="80"/>
      <c r="T22" s="258" t="s">
        <v>486</v>
      </c>
      <c r="U22" s="258">
        <v>2</v>
      </c>
      <c r="V22" s="368"/>
      <c r="W22" s="261"/>
      <c r="X22" s="261"/>
      <c r="Y22" s="261"/>
      <c r="Z22" s="261"/>
      <c r="AA22" s="261"/>
      <c r="AB22" s="261"/>
    </row>
    <row r="23" spans="2:28" ht="36" x14ac:dyDescent="0.35">
      <c r="B23" s="11"/>
      <c r="C23" s="203" t="s">
        <v>485</v>
      </c>
      <c r="D23" s="340">
        <v>4414.0599999999995</v>
      </c>
      <c r="E23" s="340">
        <v>98.91</v>
      </c>
      <c r="F23" s="340">
        <v>1060.5</v>
      </c>
      <c r="G23" s="340"/>
      <c r="H23" s="340">
        <v>391.03999999999996</v>
      </c>
      <c r="I23" s="340">
        <v>391.03999999999996</v>
      </c>
      <c r="J23" s="340">
        <v>5573.4699999999993</v>
      </c>
      <c r="K23" s="340">
        <v>1751.8591999999999</v>
      </c>
      <c r="L23" s="367">
        <v>0</v>
      </c>
      <c r="M23" s="340" t="s">
        <v>497</v>
      </c>
      <c r="N23" s="80" t="s">
        <v>365</v>
      </c>
      <c r="O23" s="164">
        <v>43752</v>
      </c>
      <c r="P23" s="378"/>
      <c r="Q23" s="80">
        <v>1734</v>
      </c>
      <c r="R23" s="80">
        <v>16</v>
      </c>
      <c r="S23" s="80"/>
      <c r="T23" s="258" t="s">
        <v>496</v>
      </c>
      <c r="U23" s="258">
        <v>2</v>
      </c>
      <c r="V23" s="368"/>
      <c r="W23" s="261"/>
      <c r="X23" s="261"/>
      <c r="Y23" s="261"/>
      <c r="Z23" s="261"/>
      <c r="AA23" s="261"/>
      <c r="AB23" s="261"/>
    </row>
    <row r="24" spans="2:28" ht="36" x14ac:dyDescent="0.35">
      <c r="B24" s="11"/>
      <c r="C24" s="203" t="s">
        <v>485</v>
      </c>
      <c r="D24" s="340">
        <v>22011.920000000002</v>
      </c>
      <c r="E24" s="340">
        <v>4689.51</v>
      </c>
      <c r="F24" s="340">
        <v>386.81999999999971</v>
      </c>
      <c r="G24" s="340"/>
      <c r="H24" s="340">
        <v>1576.2100000000003</v>
      </c>
      <c r="I24" s="340">
        <v>1576.2100000000003</v>
      </c>
      <c r="J24" s="340">
        <v>27088.25</v>
      </c>
      <c r="K24" s="340">
        <v>7167.5968000000003</v>
      </c>
      <c r="L24" s="367">
        <v>0</v>
      </c>
      <c r="M24" s="340" t="s">
        <v>387</v>
      </c>
      <c r="N24" s="115" t="s">
        <v>365</v>
      </c>
      <c r="O24" s="164">
        <v>42716</v>
      </c>
      <c r="P24" s="378"/>
      <c r="Q24" s="80">
        <v>1734</v>
      </c>
      <c r="R24" s="80">
        <v>100</v>
      </c>
      <c r="S24" s="80"/>
      <c r="T24" s="258" t="s">
        <v>487</v>
      </c>
      <c r="U24" s="258">
        <v>4</v>
      </c>
      <c r="V24" s="368"/>
      <c r="W24" s="261"/>
      <c r="X24" s="261"/>
      <c r="Y24" s="261"/>
      <c r="Z24" s="261"/>
      <c r="AA24" s="261"/>
      <c r="AB24" s="261"/>
    </row>
    <row r="25" spans="2:28" ht="36" x14ac:dyDescent="0.35">
      <c r="B25" s="11"/>
      <c r="C25" s="203" t="s">
        <v>485</v>
      </c>
      <c r="D25" s="340">
        <v>27940.12</v>
      </c>
      <c r="E25" s="340">
        <v>3615.18</v>
      </c>
      <c r="F25" s="340">
        <v>6628.4399999999987</v>
      </c>
      <c r="G25" s="340"/>
      <c r="H25" s="340">
        <v>2435.36</v>
      </c>
      <c r="I25" s="340">
        <v>2435.36</v>
      </c>
      <c r="J25" s="340">
        <v>38183.74</v>
      </c>
      <c r="K25" s="340">
        <v>11061.939199999999</v>
      </c>
      <c r="L25" s="367">
        <v>0</v>
      </c>
      <c r="M25" s="340" t="s">
        <v>387</v>
      </c>
      <c r="N25" s="80" t="s">
        <v>365</v>
      </c>
      <c r="O25" s="164">
        <v>44151</v>
      </c>
      <c r="P25" s="378"/>
      <c r="Q25" s="80">
        <v>1734</v>
      </c>
      <c r="R25" s="80">
        <v>100</v>
      </c>
      <c r="S25" s="80"/>
      <c r="T25" s="258" t="s">
        <v>496</v>
      </c>
      <c r="U25" s="258">
        <v>2</v>
      </c>
      <c r="V25" s="368"/>
      <c r="W25" s="261"/>
      <c r="X25" s="261"/>
      <c r="Y25" s="261"/>
      <c r="Z25" s="261"/>
      <c r="AA25" s="261"/>
      <c r="AB25" s="261"/>
    </row>
    <row r="26" spans="2:28" ht="36" x14ac:dyDescent="0.35">
      <c r="B26" s="11"/>
      <c r="C26" s="203" t="s">
        <v>485</v>
      </c>
      <c r="D26" s="340">
        <v>27343.68</v>
      </c>
      <c r="E26" s="340">
        <v>3902.1500000000005</v>
      </c>
      <c r="F26" s="340">
        <v>6628.4400000000023</v>
      </c>
      <c r="G26" s="340"/>
      <c r="H26" s="340">
        <v>2426.5800000000004</v>
      </c>
      <c r="I26" s="340">
        <v>2426.5800000000004</v>
      </c>
      <c r="J26" s="340">
        <v>37874.270000000004</v>
      </c>
      <c r="K26" s="340">
        <v>10871.0784</v>
      </c>
      <c r="L26" s="367">
        <v>0</v>
      </c>
      <c r="M26" s="340" t="s">
        <v>390</v>
      </c>
      <c r="N26" s="80" t="s">
        <v>365</v>
      </c>
      <c r="O26" s="164">
        <v>44697</v>
      </c>
      <c r="P26" s="378"/>
      <c r="Q26" s="80">
        <v>1734</v>
      </c>
      <c r="R26" s="80">
        <v>100</v>
      </c>
      <c r="S26" s="80"/>
      <c r="T26" s="258" t="s">
        <v>496</v>
      </c>
      <c r="U26" s="258">
        <v>2</v>
      </c>
      <c r="V26" s="368"/>
      <c r="W26" s="261"/>
      <c r="X26" s="261"/>
      <c r="Y26" s="261"/>
      <c r="Z26" s="261"/>
      <c r="AA26" s="261"/>
      <c r="AB26" s="261"/>
    </row>
    <row r="27" spans="2:28" ht="36" x14ac:dyDescent="0.35">
      <c r="B27" s="11"/>
      <c r="C27" s="203" t="s">
        <v>485</v>
      </c>
      <c r="D27" s="340">
        <v>30630.739999999998</v>
      </c>
      <c r="E27" s="340">
        <v>6598.53</v>
      </c>
      <c r="F27" s="340">
        <v>17320.659999999996</v>
      </c>
      <c r="G27" s="340"/>
      <c r="H27" s="340">
        <v>3401.4</v>
      </c>
      <c r="I27" s="340">
        <v>3401.4</v>
      </c>
      <c r="J27" s="340">
        <v>54549.929999999993</v>
      </c>
      <c r="K27" s="340">
        <v>15344.447999999999</v>
      </c>
      <c r="L27" s="367">
        <v>1900</v>
      </c>
      <c r="M27" s="340" t="s">
        <v>387</v>
      </c>
      <c r="N27" s="80" t="s">
        <v>365</v>
      </c>
      <c r="O27" s="164">
        <v>44896</v>
      </c>
      <c r="P27" s="378"/>
      <c r="Q27" s="80">
        <v>1734</v>
      </c>
      <c r="R27" s="80">
        <v>100</v>
      </c>
      <c r="S27" s="80"/>
      <c r="T27" s="258" t="s">
        <v>523</v>
      </c>
      <c r="U27" s="258">
        <v>1</v>
      </c>
      <c r="V27" s="368"/>
      <c r="W27" s="261"/>
      <c r="X27" s="261"/>
      <c r="Y27" s="261"/>
      <c r="Z27" s="261"/>
      <c r="AA27" s="261"/>
      <c r="AB27" s="261"/>
    </row>
    <row r="28" spans="2:28" ht="36" x14ac:dyDescent="0.35">
      <c r="B28" s="11"/>
      <c r="C28" s="203" t="s">
        <v>485</v>
      </c>
      <c r="D28" s="340">
        <v>10522.26</v>
      </c>
      <c r="E28" s="340">
        <v>344.19999999999993</v>
      </c>
      <c r="F28" s="340">
        <v>0</v>
      </c>
      <c r="G28" s="340"/>
      <c r="H28" s="340">
        <v>751.59</v>
      </c>
      <c r="I28" s="340">
        <v>751.59</v>
      </c>
      <c r="J28" s="340">
        <v>10866.460000000001</v>
      </c>
      <c r="K28" s="340">
        <v>3367.1232</v>
      </c>
      <c r="L28" s="367">
        <v>0</v>
      </c>
      <c r="M28" s="340" t="s">
        <v>391</v>
      </c>
      <c r="N28" s="80" t="s">
        <v>365</v>
      </c>
      <c r="O28" s="164">
        <v>45089</v>
      </c>
      <c r="P28" s="378"/>
      <c r="Q28" s="80">
        <v>1734</v>
      </c>
      <c r="R28" s="80">
        <v>60</v>
      </c>
      <c r="S28" s="80"/>
      <c r="T28" s="258" t="s">
        <v>504</v>
      </c>
      <c r="U28" s="258">
        <v>5</v>
      </c>
      <c r="V28" s="368"/>
      <c r="W28" s="261"/>
      <c r="X28" s="261"/>
      <c r="Y28" s="261"/>
      <c r="Z28" s="261"/>
      <c r="AA28" s="261"/>
      <c r="AB28" s="261"/>
    </row>
    <row r="29" spans="2:28" ht="36" x14ac:dyDescent="0.35">
      <c r="B29" s="11"/>
      <c r="C29" s="203" t="s">
        <v>485</v>
      </c>
      <c r="D29" s="340">
        <v>3255.84</v>
      </c>
      <c r="E29" s="340">
        <v>288.33999999999997</v>
      </c>
      <c r="F29" s="340">
        <v>61.039999999999964</v>
      </c>
      <c r="G29" s="340"/>
      <c r="H29" s="340">
        <v>236.92000000000002</v>
      </c>
      <c r="I29" s="340">
        <v>236.92000000000002</v>
      </c>
      <c r="J29" s="340">
        <v>3605.2200000000003</v>
      </c>
      <c r="K29" s="340">
        <v>1061.4016000000001</v>
      </c>
      <c r="L29" s="367">
        <v>0</v>
      </c>
      <c r="M29" s="340" t="s">
        <v>391</v>
      </c>
      <c r="N29" s="80" t="s">
        <v>365</v>
      </c>
      <c r="O29" s="164">
        <v>45468</v>
      </c>
      <c r="P29" s="378"/>
      <c r="Q29" s="80">
        <v>1734</v>
      </c>
      <c r="R29" s="80">
        <v>16</v>
      </c>
      <c r="S29" s="80"/>
      <c r="T29" s="258" t="s">
        <v>495</v>
      </c>
      <c r="U29" s="258">
        <v>4</v>
      </c>
      <c r="V29" s="368"/>
      <c r="W29" s="261"/>
      <c r="X29" s="261"/>
      <c r="Y29" s="261"/>
      <c r="Z29" s="261"/>
      <c r="AA29" s="261"/>
      <c r="AB29" s="261"/>
    </row>
    <row r="30" spans="2:28" ht="36" x14ac:dyDescent="0.35">
      <c r="B30" s="11"/>
      <c r="C30" s="203" t="s">
        <v>485</v>
      </c>
      <c r="D30" s="340">
        <v>20076.419999999998</v>
      </c>
      <c r="E30" s="340">
        <v>1115.4699999999998</v>
      </c>
      <c r="F30" s="340">
        <v>0</v>
      </c>
      <c r="G30" s="340"/>
      <c r="H30" s="340">
        <v>1410.33</v>
      </c>
      <c r="I30" s="340">
        <v>1410.33</v>
      </c>
      <c r="J30" s="340">
        <v>21191.89</v>
      </c>
      <c r="K30" s="340">
        <v>6424.4543999999996</v>
      </c>
      <c r="L30" s="367">
        <v>0</v>
      </c>
      <c r="M30" s="340" t="s">
        <v>499</v>
      </c>
      <c r="N30" s="80" t="s">
        <v>500</v>
      </c>
      <c r="O30" s="164">
        <v>45110</v>
      </c>
      <c r="P30" s="378">
        <v>45475</v>
      </c>
      <c r="Q30" s="80">
        <v>1734</v>
      </c>
      <c r="R30" s="80">
        <v>100</v>
      </c>
      <c r="S30" s="80"/>
      <c r="T30" s="258" t="s">
        <v>501</v>
      </c>
      <c r="U30" s="258">
        <v>9</v>
      </c>
      <c r="V30" s="368"/>
      <c r="W30" s="261"/>
      <c r="X30" s="261"/>
      <c r="Y30" s="261"/>
      <c r="Z30" s="261"/>
      <c r="AA30" s="261"/>
      <c r="AB30" s="261"/>
    </row>
    <row r="31" spans="2:28" ht="36" x14ac:dyDescent="0.35">
      <c r="B31" s="11"/>
      <c r="C31" s="203" t="s">
        <v>485</v>
      </c>
      <c r="D31" s="340">
        <v>27714.760000000002</v>
      </c>
      <c r="E31" s="340">
        <v>4358.2700000000004</v>
      </c>
      <c r="F31" s="340">
        <v>6628.4399999999951</v>
      </c>
      <c r="G31" s="340"/>
      <c r="H31" s="340">
        <v>2409.14</v>
      </c>
      <c r="I31" s="340">
        <v>2409.14</v>
      </c>
      <c r="J31" s="340">
        <v>38701.47</v>
      </c>
      <c r="K31" s="340">
        <v>10989.823999999999</v>
      </c>
      <c r="L31" s="367">
        <v>0</v>
      </c>
      <c r="M31" s="340" t="s">
        <v>387</v>
      </c>
      <c r="N31" s="80" t="s">
        <v>365</v>
      </c>
      <c r="O31" s="164">
        <v>45168</v>
      </c>
      <c r="P31" s="378"/>
      <c r="Q31" s="80">
        <v>1734</v>
      </c>
      <c r="R31" s="80">
        <v>100</v>
      </c>
      <c r="S31" s="80"/>
      <c r="T31" s="258" t="s">
        <v>496</v>
      </c>
      <c r="U31" s="258">
        <v>2</v>
      </c>
      <c r="V31" s="368"/>
      <c r="W31" s="261"/>
      <c r="X31" s="261"/>
      <c r="Y31" s="261"/>
      <c r="Z31" s="261"/>
      <c r="AA31" s="261"/>
      <c r="AB31" s="261"/>
    </row>
    <row r="32" spans="2:28" ht="36" x14ac:dyDescent="0.35">
      <c r="B32" s="11"/>
      <c r="C32" s="203" t="s">
        <v>485</v>
      </c>
      <c r="D32" s="340">
        <v>10448.620000000001</v>
      </c>
      <c r="E32" s="340">
        <v>977.61999999999989</v>
      </c>
      <c r="F32" s="340">
        <v>0</v>
      </c>
      <c r="G32" s="340"/>
      <c r="H32" s="340">
        <v>746.33</v>
      </c>
      <c r="I32" s="340">
        <v>746.33</v>
      </c>
      <c r="J32" s="340">
        <v>11426.240000000002</v>
      </c>
      <c r="K32" s="340">
        <v>3343.5584000000003</v>
      </c>
      <c r="L32" s="367">
        <v>0</v>
      </c>
      <c r="M32" s="340" t="s">
        <v>391</v>
      </c>
      <c r="N32" s="80" t="s">
        <v>365</v>
      </c>
      <c r="O32" s="164">
        <v>45229</v>
      </c>
      <c r="P32" s="378"/>
      <c r="Q32" s="80">
        <v>1734</v>
      </c>
      <c r="R32" s="80">
        <v>60</v>
      </c>
      <c r="S32" s="79"/>
      <c r="T32" s="258" t="s">
        <v>504</v>
      </c>
      <c r="U32" s="258">
        <v>5</v>
      </c>
      <c r="V32" s="368"/>
      <c r="W32" s="261"/>
      <c r="X32" s="261"/>
      <c r="Y32" s="261"/>
      <c r="Z32" s="261"/>
      <c r="AA32" s="261"/>
      <c r="AB32" s="261"/>
    </row>
    <row r="33" spans="1:28" ht="36" x14ac:dyDescent="0.35">
      <c r="B33" s="11"/>
      <c r="C33" s="203" t="s">
        <v>485</v>
      </c>
      <c r="D33" s="340">
        <v>4951.1799999999994</v>
      </c>
      <c r="E33" s="340">
        <v>29.52</v>
      </c>
      <c r="F33" s="340">
        <v>1060.5</v>
      </c>
      <c r="G33" s="340"/>
      <c r="H33" s="340">
        <v>385.46</v>
      </c>
      <c r="I33" s="340">
        <v>385.46</v>
      </c>
      <c r="J33" s="340">
        <v>6041.2</v>
      </c>
      <c r="K33" s="340">
        <v>1923.7375999999999</v>
      </c>
      <c r="L33" s="367">
        <v>0</v>
      </c>
      <c r="M33" s="340" t="s">
        <v>391</v>
      </c>
      <c r="N33" s="80" t="s">
        <v>365</v>
      </c>
      <c r="O33" s="164">
        <v>45384</v>
      </c>
      <c r="P33" s="378"/>
      <c r="Q33" s="80">
        <v>1734</v>
      </c>
      <c r="R33" s="80">
        <v>16</v>
      </c>
      <c r="S33" s="80"/>
      <c r="T33" s="258" t="s">
        <v>496</v>
      </c>
      <c r="U33" s="258">
        <v>2</v>
      </c>
      <c r="V33" s="368"/>
      <c r="W33" s="261"/>
      <c r="X33" s="261"/>
      <c r="Y33" s="261"/>
      <c r="Z33" s="261"/>
      <c r="AA33" s="261"/>
      <c r="AB33" s="261"/>
    </row>
    <row r="34" spans="1:28" ht="36" x14ac:dyDescent="0.35">
      <c r="B34" s="11"/>
      <c r="C34" s="203" t="s">
        <v>485</v>
      </c>
      <c r="D34" s="340">
        <v>27431.32</v>
      </c>
      <c r="E34" s="340">
        <v>819.53</v>
      </c>
      <c r="F34" s="340">
        <v>6628.4400000000023</v>
      </c>
      <c r="G34" s="340"/>
      <c r="H34" s="340">
        <v>2409.14</v>
      </c>
      <c r="I34" s="340">
        <v>2409.14</v>
      </c>
      <c r="J34" s="340">
        <v>34879.29</v>
      </c>
      <c r="K34" s="340">
        <v>10899.1232</v>
      </c>
      <c r="L34" s="367">
        <v>0</v>
      </c>
      <c r="M34" s="340" t="s">
        <v>387</v>
      </c>
      <c r="N34" s="80" t="s">
        <v>365</v>
      </c>
      <c r="O34" s="164">
        <v>45386</v>
      </c>
      <c r="P34" s="378"/>
      <c r="Q34" s="80">
        <v>1734</v>
      </c>
      <c r="R34" s="80">
        <v>100</v>
      </c>
      <c r="S34" s="80"/>
      <c r="T34" s="258" t="s">
        <v>496</v>
      </c>
      <c r="U34" s="258">
        <v>2</v>
      </c>
      <c r="V34" s="368"/>
      <c r="W34" s="261"/>
      <c r="X34" s="261"/>
      <c r="Y34" s="261"/>
      <c r="Z34" s="261"/>
      <c r="AA34" s="261"/>
      <c r="AB34" s="261"/>
    </row>
    <row r="35" spans="1:28" ht="36" x14ac:dyDescent="0.35">
      <c r="B35" s="11"/>
      <c r="C35" s="203" t="s">
        <v>485</v>
      </c>
      <c r="D35" s="340">
        <v>27099.52</v>
      </c>
      <c r="E35" s="340">
        <v>156.24</v>
      </c>
      <c r="F35" s="340">
        <v>6628.4399999999987</v>
      </c>
      <c r="G35" s="340"/>
      <c r="H35" s="340">
        <v>2409.14</v>
      </c>
      <c r="I35" s="340">
        <v>2409.14</v>
      </c>
      <c r="J35" s="340">
        <v>33884.199999999997</v>
      </c>
      <c r="K35" s="340">
        <v>10792.947200000001</v>
      </c>
      <c r="L35" s="367">
        <v>0</v>
      </c>
      <c r="M35" s="340" t="s">
        <v>387</v>
      </c>
      <c r="N35" s="80" t="s">
        <v>365</v>
      </c>
      <c r="O35" s="164">
        <v>45414</v>
      </c>
      <c r="P35" s="378"/>
      <c r="Q35" s="80">
        <v>1734</v>
      </c>
      <c r="R35" s="80">
        <v>100</v>
      </c>
      <c r="S35" s="80"/>
      <c r="T35" s="258" t="s">
        <v>496</v>
      </c>
      <c r="U35" s="258">
        <v>2</v>
      </c>
      <c r="V35" s="368"/>
      <c r="W35" s="261"/>
      <c r="X35" s="261"/>
      <c r="Y35" s="261"/>
      <c r="Z35" s="261"/>
      <c r="AA35" s="261"/>
      <c r="AB35" s="261"/>
    </row>
    <row r="36" spans="1:28" ht="36" x14ac:dyDescent="0.35">
      <c r="B36" s="11"/>
      <c r="C36" s="203" t="s">
        <v>485</v>
      </c>
      <c r="D36" s="340">
        <v>27431.32</v>
      </c>
      <c r="E36" s="340">
        <v>0</v>
      </c>
      <c r="F36" s="340">
        <v>6628.4400000000023</v>
      </c>
      <c r="G36" s="340"/>
      <c r="H36" s="340">
        <v>2409.14</v>
      </c>
      <c r="I36" s="340">
        <v>2409.14</v>
      </c>
      <c r="J36" s="340">
        <v>34059.760000000002</v>
      </c>
      <c r="K36" s="340">
        <v>10899.1232</v>
      </c>
      <c r="L36" s="367">
        <v>0</v>
      </c>
      <c r="M36" s="340" t="s">
        <v>387</v>
      </c>
      <c r="N36" s="80" t="s">
        <v>365</v>
      </c>
      <c r="O36" s="164">
        <v>45474</v>
      </c>
      <c r="P36" s="378"/>
      <c r="Q36" s="80">
        <v>1734</v>
      </c>
      <c r="R36" s="80">
        <v>100</v>
      </c>
      <c r="S36" s="80"/>
      <c r="T36" s="258" t="s">
        <v>496</v>
      </c>
      <c r="U36" s="258">
        <v>2</v>
      </c>
      <c r="V36" s="368"/>
      <c r="W36" s="261"/>
      <c r="X36" s="261"/>
      <c r="Y36" s="261"/>
      <c r="Z36" s="261"/>
      <c r="AA36" s="261"/>
      <c r="AB36" s="261"/>
    </row>
    <row r="37" spans="1:28" s="208" customFormat="1" ht="36" x14ac:dyDescent="0.35">
      <c r="A37" s="354"/>
      <c r="B37" s="154"/>
      <c r="C37" s="207" t="s">
        <v>485</v>
      </c>
      <c r="D37" s="250">
        <v>20730.78</v>
      </c>
      <c r="E37" s="250">
        <v>0</v>
      </c>
      <c r="F37" s="250">
        <v>0</v>
      </c>
      <c r="G37" s="250"/>
      <c r="H37" s="250">
        <v>1453.49</v>
      </c>
      <c r="I37" s="250">
        <v>1453.49</v>
      </c>
      <c r="J37" s="250">
        <v>20730.78</v>
      </c>
      <c r="K37" s="250">
        <v>6633.8495999999996</v>
      </c>
      <c r="L37" s="351">
        <v>0</v>
      </c>
      <c r="M37" s="250" t="s">
        <v>387</v>
      </c>
      <c r="N37" s="235" t="s">
        <v>365</v>
      </c>
      <c r="O37" s="211">
        <v>45600</v>
      </c>
      <c r="P37" s="238"/>
      <c r="Q37" s="235">
        <v>1734</v>
      </c>
      <c r="R37" s="235">
        <v>100</v>
      </c>
      <c r="S37" s="235"/>
      <c r="T37" s="251" t="s">
        <v>495</v>
      </c>
      <c r="U37" s="251">
        <v>4</v>
      </c>
      <c r="V37" s="353"/>
      <c r="W37" s="242"/>
      <c r="X37" s="242"/>
      <c r="Y37" s="242"/>
      <c r="Z37" s="242"/>
      <c r="AA37" s="242"/>
      <c r="AB37" s="242"/>
    </row>
    <row r="38" spans="1:28" s="208" customFormat="1" ht="36" x14ac:dyDescent="0.35">
      <c r="A38" s="354"/>
      <c r="B38" s="154"/>
      <c r="C38" s="207" t="s">
        <v>485</v>
      </c>
      <c r="D38" s="250">
        <v>6745.62</v>
      </c>
      <c r="E38" s="250">
        <v>0</v>
      </c>
      <c r="F38" s="250">
        <v>0</v>
      </c>
      <c r="G38" s="250"/>
      <c r="H38" s="250">
        <v>387.14</v>
      </c>
      <c r="I38" s="250">
        <v>387.14</v>
      </c>
      <c r="J38" s="250">
        <v>6745.62</v>
      </c>
      <c r="K38" s="250">
        <v>2158.5983999999999</v>
      </c>
      <c r="L38" s="351">
        <v>0</v>
      </c>
      <c r="M38" s="250" t="s">
        <v>391</v>
      </c>
      <c r="N38" s="235" t="s">
        <v>365</v>
      </c>
      <c r="O38" s="211">
        <v>45607</v>
      </c>
      <c r="P38" s="238"/>
      <c r="Q38" s="235">
        <v>1734</v>
      </c>
      <c r="R38" s="235">
        <v>20</v>
      </c>
      <c r="S38" s="235"/>
      <c r="T38" s="251" t="s">
        <v>496</v>
      </c>
      <c r="U38" s="251">
        <v>2</v>
      </c>
      <c r="V38" s="353"/>
      <c r="W38" s="242"/>
      <c r="X38" s="242"/>
      <c r="Y38" s="242"/>
      <c r="Z38" s="242"/>
      <c r="AA38" s="242"/>
      <c r="AB38" s="242"/>
    </row>
    <row r="39" spans="1:28" s="126" customFormat="1" ht="175.5" customHeight="1" x14ac:dyDescent="0.35">
      <c r="B39" s="166" t="s">
        <v>524</v>
      </c>
      <c r="C39" s="207" t="s">
        <v>485</v>
      </c>
      <c r="D39" s="250">
        <f>(1/7)*22762.92</f>
        <v>3251.8457142857137</v>
      </c>
      <c r="E39" s="250">
        <f>(1/7)*3623.84</f>
        <v>517.69142857142856</v>
      </c>
      <c r="F39" s="250">
        <f>(1/7)*7661.52</f>
        <v>1094.5028571428572</v>
      </c>
      <c r="G39" s="250"/>
      <c r="H39" s="250">
        <f>(1/7)*2010.78</f>
        <v>287.25428571428569</v>
      </c>
      <c r="I39" s="250">
        <f>(1/7)*2010.78</f>
        <v>287.25428571428569</v>
      </c>
      <c r="J39" s="250">
        <f>(1/7)*34048.28</f>
        <v>4864.04</v>
      </c>
      <c r="K39" s="250">
        <f>(1/7)*9735.8208</f>
        <v>1390.8315428571427</v>
      </c>
      <c r="L39" s="237">
        <f>(1/7)*2700</f>
        <v>385.71428571428567</v>
      </c>
      <c r="M39" s="235" t="s">
        <v>387</v>
      </c>
      <c r="N39" s="235" t="s">
        <v>365</v>
      </c>
      <c r="O39" s="211">
        <v>38930</v>
      </c>
      <c r="P39" s="251"/>
      <c r="Q39" s="235">
        <v>1734</v>
      </c>
      <c r="R39" s="252">
        <f>(1/7)*100</f>
        <v>14.285714285714285</v>
      </c>
      <c r="S39" s="235"/>
      <c r="T39" s="251" t="s">
        <v>506</v>
      </c>
      <c r="U39" s="251">
        <v>8</v>
      </c>
      <c r="V39" s="207"/>
      <c r="W39" s="242"/>
      <c r="X39" s="242"/>
      <c r="Y39" s="242"/>
      <c r="Z39" s="242"/>
      <c r="AA39" s="261"/>
      <c r="AB39" s="261"/>
    </row>
    <row r="40" spans="1:28" s="126" customFormat="1" ht="175.5" customHeight="1" x14ac:dyDescent="0.35">
      <c r="B40" s="166" t="s">
        <v>507</v>
      </c>
      <c r="C40" s="207" t="s">
        <v>485</v>
      </c>
      <c r="D40" s="250">
        <v>2406.194</v>
      </c>
      <c r="E40" s="250">
        <v>170.423</v>
      </c>
      <c r="F40" s="250">
        <v>408.92600000000022</v>
      </c>
      <c r="G40" s="250"/>
      <c r="H40" s="250">
        <v>201.07999999999998</v>
      </c>
      <c r="I40" s="250">
        <v>201.07999999999998</v>
      </c>
      <c r="J40" s="250">
        <v>2985.5430000000001</v>
      </c>
      <c r="K40" s="250">
        <v>900.83839999999998</v>
      </c>
      <c r="L40" s="237">
        <v>0</v>
      </c>
      <c r="M40" s="235" t="s">
        <v>390</v>
      </c>
      <c r="N40" s="235" t="s">
        <v>365</v>
      </c>
      <c r="O40" s="211">
        <v>39167</v>
      </c>
      <c r="P40" s="251"/>
      <c r="Q40" s="235">
        <v>1734</v>
      </c>
      <c r="R40" s="252">
        <v>10</v>
      </c>
      <c r="S40" s="235"/>
      <c r="T40" s="251" t="s">
        <v>508</v>
      </c>
      <c r="U40" s="251">
        <v>8</v>
      </c>
      <c r="V40" s="207"/>
      <c r="W40" s="242"/>
      <c r="X40" s="242"/>
      <c r="Y40" s="242"/>
      <c r="Z40" s="242"/>
      <c r="AA40" s="261"/>
      <c r="AB40" s="261"/>
    </row>
    <row r="41" spans="1:28" s="126" customFormat="1" ht="175.5" customHeight="1" x14ac:dyDescent="0.35">
      <c r="B41" s="166" t="s">
        <v>507</v>
      </c>
      <c r="C41" s="207" t="s">
        <v>485</v>
      </c>
      <c r="D41" s="250">
        <v>2387.252</v>
      </c>
      <c r="E41" s="250">
        <v>143.655</v>
      </c>
      <c r="F41" s="250">
        <v>482.39799999999997</v>
      </c>
      <c r="G41" s="250"/>
      <c r="H41" s="250">
        <v>201.10499999999999</v>
      </c>
      <c r="I41" s="250">
        <v>201.10499999999999</v>
      </c>
      <c r="J41" s="250">
        <v>3013.3049999999998</v>
      </c>
      <c r="K41" s="250">
        <v>918.28800000000012</v>
      </c>
      <c r="L41" s="237">
        <v>0</v>
      </c>
      <c r="M41" s="235" t="s">
        <v>387</v>
      </c>
      <c r="N41" s="235" t="s">
        <v>365</v>
      </c>
      <c r="O41" s="211">
        <v>38845</v>
      </c>
      <c r="P41" s="251"/>
      <c r="Q41" s="235">
        <v>1734</v>
      </c>
      <c r="R41" s="252">
        <v>10</v>
      </c>
      <c r="S41" s="235"/>
      <c r="T41" s="251" t="s">
        <v>509</v>
      </c>
      <c r="U41" s="251">
        <v>8</v>
      </c>
      <c r="V41" s="207"/>
      <c r="W41" s="242"/>
      <c r="X41" s="242"/>
      <c r="Y41" s="242"/>
      <c r="Z41" s="242"/>
      <c r="AA41" s="261"/>
      <c r="AB41" s="261"/>
    </row>
    <row r="42" spans="1:28" s="126" customFormat="1" ht="175.5" customHeight="1" x14ac:dyDescent="0.35">
      <c r="B42" s="166" t="s">
        <v>507</v>
      </c>
      <c r="C42" s="207" t="s">
        <v>485</v>
      </c>
      <c r="D42" s="250">
        <v>3242.0080000000003</v>
      </c>
      <c r="E42" s="250">
        <v>1515.021</v>
      </c>
      <c r="F42" s="250">
        <v>5267.9680000000008</v>
      </c>
      <c r="G42" s="250"/>
      <c r="H42" s="250">
        <v>557.42200000000003</v>
      </c>
      <c r="I42" s="250">
        <v>557.42200000000003</v>
      </c>
      <c r="J42" s="250">
        <v>10024.996999999999</v>
      </c>
      <c r="K42" s="250">
        <v>1812.672</v>
      </c>
      <c r="L42" s="237">
        <v>1250</v>
      </c>
      <c r="M42" s="235" t="s">
        <v>387</v>
      </c>
      <c r="N42" s="235" t="s">
        <v>365</v>
      </c>
      <c r="O42" s="211">
        <v>33273</v>
      </c>
      <c r="P42" s="251"/>
      <c r="Q42" s="235">
        <v>1734</v>
      </c>
      <c r="R42" s="252">
        <v>10</v>
      </c>
      <c r="S42" s="235"/>
      <c r="T42" s="251" t="s">
        <v>510</v>
      </c>
      <c r="U42" s="251">
        <v>6</v>
      </c>
      <c r="V42" s="207"/>
      <c r="W42" s="242"/>
      <c r="X42" s="242"/>
      <c r="Y42" s="242"/>
      <c r="Z42" s="242"/>
      <c r="AA42" s="261"/>
      <c r="AB42" s="261"/>
    </row>
    <row r="43" spans="1:28" s="126" customFormat="1" ht="175.5" customHeight="1" x14ac:dyDescent="0.35">
      <c r="B43" s="166" t="s">
        <v>507</v>
      </c>
      <c r="C43" s="207" t="s">
        <v>485</v>
      </c>
      <c r="D43" s="250">
        <v>3097.57</v>
      </c>
      <c r="E43" s="250">
        <v>565.12999999999988</v>
      </c>
      <c r="F43" s="250">
        <v>3069.3339999999994</v>
      </c>
      <c r="G43" s="250"/>
      <c r="H43" s="250">
        <v>366.48399999999998</v>
      </c>
      <c r="I43" s="250">
        <v>366.48399999999998</v>
      </c>
      <c r="J43" s="250">
        <v>6732.0339999999997</v>
      </c>
      <c r="K43" s="250">
        <v>1812.672</v>
      </c>
      <c r="L43" s="237">
        <v>432</v>
      </c>
      <c r="M43" s="235" t="s">
        <v>387</v>
      </c>
      <c r="N43" s="235" t="s">
        <v>365</v>
      </c>
      <c r="O43" s="211">
        <v>31845</v>
      </c>
      <c r="P43" s="251"/>
      <c r="Q43" s="235">
        <v>1734</v>
      </c>
      <c r="R43" s="252">
        <v>10</v>
      </c>
      <c r="S43" s="235"/>
      <c r="T43" s="251" t="s">
        <v>511</v>
      </c>
      <c r="U43" s="251">
        <v>2</v>
      </c>
      <c r="V43" s="207"/>
      <c r="W43" s="242"/>
      <c r="X43" s="242"/>
      <c r="Y43" s="242"/>
      <c r="Z43" s="242"/>
      <c r="AA43" s="261"/>
      <c r="AB43" s="261"/>
    </row>
    <row r="44" spans="1:28" s="126" customFormat="1" ht="175.5" customHeight="1" x14ac:dyDescent="0.35">
      <c r="B44" s="166" t="s">
        <v>507</v>
      </c>
      <c r="C44" s="207" t="s">
        <v>485</v>
      </c>
      <c r="D44" s="250">
        <v>1713.2079999999999</v>
      </c>
      <c r="E44" s="250">
        <v>37.150999999999996</v>
      </c>
      <c r="F44" s="250">
        <v>4162.7039999999997</v>
      </c>
      <c r="G44" s="250"/>
      <c r="H44" s="250">
        <v>417.33800000000002</v>
      </c>
      <c r="I44" s="250">
        <v>417.33800000000002</v>
      </c>
      <c r="J44" s="250">
        <v>5913.0630000000001</v>
      </c>
      <c r="K44" s="250">
        <v>1812.672</v>
      </c>
      <c r="L44" s="237">
        <v>0</v>
      </c>
      <c r="M44" s="235" t="s">
        <v>391</v>
      </c>
      <c r="N44" s="235" t="s">
        <v>365</v>
      </c>
      <c r="O44" s="211">
        <v>35977</v>
      </c>
      <c r="P44" s="251"/>
      <c r="Q44" s="235">
        <v>1734</v>
      </c>
      <c r="R44" s="252">
        <v>5</v>
      </c>
      <c r="S44" s="235"/>
      <c r="T44" s="251" t="s">
        <v>512</v>
      </c>
      <c r="U44" s="251">
        <v>1</v>
      </c>
      <c r="V44" s="207"/>
      <c r="W44" s="242"/>
      <c r="X44" s="242"/>
      <c r="Y44" s="242"/>
      <c r="Z44" s="242"/>
      <c r="AA44" s="261"/>
      <c r="AB44" s="261"/>
    </row>
    <row r="45" spans="1:28" s="126" customFormat="1" ht="175.5" customHeight="1" x14ac:dyDescent="0.35">
      <c r="B45" s="166" t="s">
        <v>507</v>
      </c>
      <c r="C45" s="207" t="s">
        <v>485</v>
      </c>
      <c r="D45" s="250">
        <v>2606.982</v>
      </c>
      <c r="E45" s="250">
        <v>473.12299999999993</v>
      </c>
      <c r="F45" s="250">
        <v>2571.4499999999998</v>
      </c>
      <c r="G45" s="250"/>
      <c r="H45" s="250">
        <v>368.38800000000003</v>
      </c>
      <c r="I45" s="250">
        <v>368.38800000000003</v>
      </c>
      <c r="J45" s="250">
        <v>5651.5550000000003</v>
      </c>
      <c r="K45" s="250">
        <v>1657.09824</v>
      </c>
      <c r="L45" s="237">
        <v>240</v>
      </c>
      <c r="M45" s="235" t="s">
        <v>387</v>
      </c>
      <c r="N45" s="235" t="s">
        <v>365</v>
      </c>
      <c r="O45" s="211">
        <v>33493</v>
      </c>
      <c r="P45" s="251"/>
      <c r="Q45" s="235">
        <v>1734</v>
      </c>
      <c r="R45" s="252">
        <v>10</v>
      </c>
      <c r="S45" s="235"/>
      <c r="T45" s="251" t="s">
        <v>513</v>
      </c>
      <c r="U45" s="251">
        <v>8</v>
      </c>
      <c r="V45" s="207"/>
      <c r="W45" s="242"/>
      <c r="X45" s="242"/>
      <c r="Y45" s="242"/>
      <c r="Z45" s="242"/>
      <c r="AA45" s="261"/>
      <c r="AB45" s="261"/>
    </row>
    <row r="46" spans="1:28" s="126" customFormat="1" ht="175.5" customHeight="1" x14ac:dyDescent="0.35">
      <c r="B46" s="166" t="s">
        <v>507</v>
      </c>
      <c r="C46" s="207" t="s">
        <v>485</v>
      </c>
      <c r="D46" s="250">
        <v>2118.288</v>
      </c>
      <c r="E46" s="250">
        <v>215.75200000000001</v>
      </c>
      <c r="F46" s="250">
        <v>0</v>
      </c>
      <c r="G46" s="250"/>
      <c r="H46" s="250">
        <v>150.29400000000001</v>
      </c>
      <c r="I46" s="250">
        <v>150.29400000000001</v>
      </c>
      <c r="J46" s="250">
        <v>2334.04</v>
      </c>
      <c r="K46" s="250">
        <v>677.85216000000003</v>
      </c>
      <c r="L46" s="237">
        <v>0</v>
      </c>
      <c r="M46" s="235" t="s">
        <v>390</v>
      </c>
      <c r="N46" s="235" t="s">
        <v>365</v>
      </c>
      <c r="O46" s="211">
        <v>42401</v>
      </c>
      <c r="P46" s="251"/>
      <c r="Q46" s="235">
        <v>1734</v>
      </c>
      <c r="R46" s="252">
        <v>10</v>
      </c>
      <c r="S46" s="235"/>
      <c r="T46" s="251" t="s">
        <v>514</v>
      </c>
      <c r="U46" s="251">
        <v>4</v>
      </c>
      <c r="V46" s="207"/>
      <c r="W46" s="242"/>
      <c r="X46" s="242"/>
      <c r="Y46" s="242"/>
      <c r="Z46" s="242"/>
      <c r="AA46" s="261"/>
      <c r="AB46" s="261"/>
    </row>
    <row r="47" spans="1:28" s="126" customFormat="1" ht="175.5" customHeight="1" x14ac:dyDescent="0.35">
      <c r="B47" s="166" t="s">
        <v>507</v>
      </c>
      <c r="C47" s="207" t="s">
        <v>485</v>
      </c>
      <c r="D47" s="250">
        <v>3013.0940000000001</v>
      </c>
      <c r="E47" s="250">
        <v>117.37100000000001</v>
      </c>
      <c r="F47" s="250">
        <v>1091.7759999999994</v>
      </c>
      <c r="G47" s="250"/>
      <c r="H47" s="250">
        <v>289.33499999999998</v>
      </c>
      <c r="I47" s="250">
        <v>289.33499999999998</v>
      </c>
      <c r="J47" s="250">
        <v>4222.241</v>
      </c>
      <c r="K47" s="250">
        <v>1313.5583999999999</v>
      </c>
      <c r="L47" s="237">
        <v>0</v>
      </c>
      <c r="M47" s="235" t="s">
        <v>387</v>
      </c>
      <c r="N47" s="235" t="s">
        <v>365</v>
      </c>
      <c r="O47" s="211">
        <v>42509</v>
      </c>
      <c r="P47" s="251"/>
      <c r="Q47" s="235">
        <v>1734</v>
      </c>
      <c r="R47" s="252">
        <v>10</v>
      </c>
      <c r="S47" s="235"/>
      <c r="T47" s="251" t="s">
        <v>515</v>
      </c>
      <c r="U47" s="251">
        <v>7</v>
      </c>
      <c r="V47" s="207"/>
      <c r="W47" s="242"/>
      <c r="X47" s="242"/>
      <c r="Y47" s="242"/>
      <c r="Z47" s="242"/>
      <c r="AA47" s="261"/>
      <c r="AB47" s="261"/>
    </row>
    <row r="48" spans="1:28" s="126" customFormat="1" ht="175.5" customHeight="1" x14ac:dyDescent="0.35">
      <c r="B48" s="166" t="s">
        <v>507</v>
      </c>
      <c r="C48" s="207" t="s">
        <v>485</v>
      </c>
      <c r="D48" s="250">
        <v>3247</v>
      </c>
      <c r="E48" s="250">
        <v>204.42800000000003</v>
      </c>
      <c r="F48" s="250">
        <v>993.11800000000005</v>
      </c>
      <c r="G48" s="250"/>
      <c r="H48" s="250">
        <v>300.84100000000001</v>
      </c>
      <c r="I48" s="250">
        <v>300.84100000000001</v>
      </c>
      <c r="J48" s="250">
        <v>4444.5460000000003</v>
      </c>
      <c r="K48" s="250">
        <v>1356.8377599999999</v>
      </c>
      <c r="L48" s="237">
        <v>0</v>
      </c>
      <c r="M48" s="235" t="s">
        <v>387</v>
      </c>
      <c r="N48" s="235" t="s">
        <v>365</v>
      </c>
      <c r="O48" s="211">
        <v>42522</v>
      </c>
      <c r="P48" s="251"/>
      <c r="Q48" s="235">
        <v>1734</v>
      </c>
      <c r="R48" s="252">
        <v>10</v>
      </c>
      <c r="S48" s="235"/>
      <c r="T48" s="251" t="s">
        <v>516</v>
      </c>
      <c r="U48" s="251">
        <v>1</v>
      </c>
      <c r="V48" s="207"/>
      <c r="W48" s="242"/>
      <c r="X48" s="242"/>
      <c r="Y48" s="242"/>
      <c r="Z48" s="242"/>
      <c r="AA48" s="261"/>
      <c r="AB48" s="261"/>
    </row>
    <row r="49" spans="1:29" s="126" customFormat="1" ht="175.5" customHeight="1" x14ac:dyDescent="0.35">
      <c r="B49" s="166" t="s">
        <v>507</v>
      </c>
      <c r="C49" s="207" t="s">
        <v>485</v>
      </c>
      <c r="D49" s="250">
        <v>2230.2219999999998</v>
      </c>
      <c r="E49" s="250">
        <v>225.20100000000002</v>
      </c>
      <c r="F49" s="250">
        <v>429.92600000000022</v>
      </c>
      <c r="G49" s="250"/>
      <c r="H49" s="250">
        <v>186.48600000000002</v>
      </c>
      <c r="I49" s="250">
        <v>186.48600000000002</v>
      </c>
      <c r="J49" s="250">
        <v>2885.3489999999997</v>
      </c>
      <c r="K49" s="250">
        <v>851.24735999999996</v>
      </c>
      <c r="L49" s="237">
        <v>0</v>
      </c>
      <c r="M49" s="235" t="s">
        <v>387</v>
      </c>
      <c r="N49" s="235" t="s">
        <v>365</v>
      </c>
      <c r="O49" s="211">
        <v>44503</v>
      </c>
      <c r="P49" s="251"/>
      <c r="Q49" s="235">
        <v>1734</v>
      </c>
      <c r="R49" s="252">
        <v>10</v>
      </c>
      <c r="S49" s="235"/>
      <c r="T49" s="251" t="s">
        <v>509</v>
      </c>
      <c r="U49" s="251">
        <v>8</v>
      </c>
      <c r="V49" s="207"/>
      <c r="W49" s="242"/>
      <c r="X49" s="242"/>
      <c r="Y49" s="242"/>
      <c r="Z49" s="242"/>
      <c r="AA49" s="261"/>
      <c r="AB49" s="261"/>
    </row>
    <row r="50" spans="1:29" x14ac:dyDescent="0.35">
      <c r="B50" s="135"/>
      <c r="Y50" s="126"/>
      <c r="Z50" s="126"/>
      <c r="AA50" s="126"/>
      <c r="AB50" s="126"/>
      <c r="AC50" s="126"/>
    </row>
    <row r="51" spans="1:29" x14ac:dyDescent="0.35">
      <c r="B51" s="135"/>
      <c r="Y51" s="126"/>
      <c r="Z51" s="126"/>
      <c r="AA51" s="126"/>
      <c r="AB51" s="126"/>
      <c r="AC51" s="126"/>
    </row>
    <row r="52" spans="1:29" ht="19" thickBot="1" x14ac:dyDescent="0.5">
      <c r="B52" s="18" t="s">
        <v>17</v>
      </c>
      <c r="C52" s="1"/>
    </row>
    <row r="53" spans="1:29" ht="33.75" customHeight="1" x14ac:dyDescent="0.35">
      <c r="B53" s="19" t="s">
        <v>344</v>
      </c>
      <c r="C53" s="19" t="s">
        <v>2</v>
      </c>
      <c r="D53" s="19" t="s">
        <v>21</v>
      </c>
      <c r="E53" s="19" t="s">
        <v>1</v>
      </c>
      <c r="F53" s="19" t="s">
        <v>22</v>
      </c>
      <c r="G53" s="176" t="s">
        <v>14</v>
      </c>
      <c r="H53" s="176" t="s">
        <v>18</v>
      </c>
      <c r="I53" s="176" t="s">
        <v>15</v>
      </c>
      <c r="J53" s="176" t="s">
        <v>10</v>
      </c>
      <c r="K53" s="176" t="s">
        <v>23</v>
      </c>
      <c r="L53" s="176" t="s">
        <v>16</v>
      </c>
      <c r="M53" s="176" t="s">
        <v>3</v>
      </c>
      <c r="N53" s="176" t="s">
        <v>11</v>
      </c>
      <c r="O53" s="176" t="s">
        <v>4</v>
      </c>
      <c r="P53" s="176" t="s">
        <v>5</v>
      </c>
      <c r="Q53" s="176" t="s">
        <v>24</v>
      </c>
      <c r="R53" s="176" t="s">
        <v>25</v>
      </c>
      <c r="S53" s="176" t="s">
        <v>26</v>
      </c>
      <c r="T53" s="176" t="s">
        <v>27</v>
      </c>
      <c r="U53" s="176" t="s">
        <v>6</v>
      </c>
      <c r="V53" s="176" t="s">
        <v>7</v>
      </c>
      <c r="W53" s="176" t="s">
        <v>28</v>
      </c>
      <c r="X53" s="176" t="s">
        <v>29</v>
      </c>
      <c r="Y53" s="176" t="s">
        <v>30</v>
      </c>
      <c r="Z53" s="176" t="s">
        <v>31</v>
      </c>
      <c r="AA53" s="177" t="s">
        <v>8</v>
      </c>
      <c r="AB53" s="177" t="s">
        <v>9</v>
      </c>
    </row>
    <row r="54" spans="1:29" s="23" customFormat="1" ht="37.5" customHeight="1" x14ac:dyDescent="0.35">
      <c r="A54"/>
      <c r="B54" s="154"/>
      <c r="C54" s="175" t="s">
        <v>485</v>
      </c>
      <c r="D54" s="167">
        <v>0</v>
      </c>
      <c r="E54" s="167">
        <v>0</v>
      </c>
      <c r="F54" s="167">
        <v>0</v>
      </c>
      <c r="G54" s="178"/>
      <c r="H54" s="178">
        <v>0</v>
      </c>
      <c r="I54" s="178">
        <v>0</v>
      </c>
      <c r="J54" s="178">
        <v>0</v>
      </c>
      <c r="K54" s="178">
        <v>0</v>
      </c>
      <c r="L54" s="178">
        <v>0</v>
      </c>
      <c r="M54" s="178" t="s">
        <v>497</v>
      </c>
      <c r="N54" s="179" t="s">
        <v>365</v>
      </c>
      <c r="O54" s="180">
        <v>44161</v>
      </c>
      <c r="P54" s="181"/>
      <c r="Q54" s="179">
        <v>1734</v>
      </c>
      <c r="R54" s="179">
        <v>14</v>
      </c>
      <c r="S54" s="179"/>
      <c r="T54" s="182" t="s">
        <v>496</v>
      </c>
      <c r="U54" s="182">
        <v>2</v>
      </c>
      <c r="V54" s="183"/>
      <c r="W54" s="184" t="s">
        <v>489</v>
      </c>
      <c r="X54" s="184"/>
      <c r="Y54" s="184"/>
      <c r="Z54" s="184"/>
      <c r="AA54" s="185"/>
      <c r="AB54" s="186" t="s">
        <v>525</v>
      </c>
    </row>
    <row r="55" spans="1:29" s="208" customFormat="1" x14ac:dyDescent="0.35">
      <c r="A55"/>
      <c r="B55" s="154"/>
      <c r="C55" s="175" t="s">
        <v>485</v>
      </c>
      <c r="D55" s="156">
        <v>0</v>
      </c>
      <c r="E55" s="156">
        <v>0</v>
      </c>
      <c r="F55" s="156">
        <v>0</v>
      </c>
      <c r="G55" s="156"/>
      <c r="H55" s="156">
        <v>0</v>
      </c>
      <c r="I55" s="156">
        <v>0</v>
      </c>
      <c r="J55" s="156">
        <v>0</v>
      </c>
      <c r="K55" s="156">
        <v>0</v>
      </c>
      <c r="L55" s="157">
        <v>0</v>
      </c>
      <c r="M55" s="156" t="s">
        <v>387</v>
      </c>
      <c r="N55" s="154" t="s">
        <v>365</v>
      </c>
      <c r="O55" s="158">
        <v>39602</v>
      </c>
      <c r="P55" s="159"/>
      <c r="Q55" s="160">
        <v>1734</v>
      </c>
      <c r="R55" s="160">
        <v>100</v>
      </c>
      <c r="S55" s="160"/>
      <c r="T55" s="161" t="s">
        <v>486</v>
      </c>
      <c r="U55" s="161">
        <v>2</v>
      </c>
      <c r="V55" s="163"/>
      <c r="W55" s="162"/>
      <c r="X55" s="162"/>
      <c r="Y55" s="162"/>
      <c r="Z55" s="162"/>
      <c r="AA55" s="162"/>
      <c r="AB55" s="162" t="s">
        <v>526</v>
      </c>
    </row>
    <row r="56" spans="1:29" x14ac:dyDescent="0.35">
      <c r="B56" s="4"/>
      <c r="C56" s="31"/>
      <c r="D56" s="5"/>
      <c r="E56" s="5"/>
      <c r="F56" s="5"/>
      <c r="G56" s="5"/>
      <c r="H56" s="5"/>
      <c r="I56" s="5"/>
      <c r="J56" s="5"/>
      <c r="K56" s="5"/>
      <c r="L56" s="4"/>
      <c r="M56" s="4"/>
      <c r="N56" s="4"/>
      <c r="O56" s="6"/>
      <c r="P56" s="7"/>
      <c r="Q56" s="8"/>
      <c r="R56" s="8"/>
      <c r="S56" s="8"/>
      <c r="T56" s="9"/>
      <c r="U56" s="9"/>
      <c r="V56" s="10"/>
      <c r="W56" s="36"/>
      <c r="X56" s="36"/>
      <c r="Y56" s="36"/>
      <c r="Z56" s="36"/>
      <c r="AA56" s="36"/>
      <c r="AB56" s="36"/>
    </row>
    <row r="57" spans="1:29" x14ac:dyDescent="0.35">
      <c r="B57" s="4"/>
      <c r="C57" s="31"/>
      <c r="D57" s="5"/>
      <c r="E57" s="5"/>
      <c r="F57" s="5"/>
      <c r="G57" s="5"/>
      <c r="H57" s="5"/>
      <c r="I57" s="5"/>
      <c r="J57" s="5"/>
      <c r="K57" s="5"/>
      <c r="L57" s="4"/>
      <c r="M57" s="4"/>
      <c r="N57" s="4"/>
      <c r="O57" s="6"/>
      <c r="P57" s="7"/>
      <c r="Q57" s="8"/>
      <c r="R57" s="8"/>
      <c r="S57" s="8"/>
      <c r="T57" s="9"/>
      <c r="U57" s="9"/>
      <c r="V57" s="10"/>
      <c r="W57" s="36"/>
      <c r="X57" s="36"/>
      <c r="Y57" s="36"/>
      <c r="Z57" s="36"/>
      <c r="AA57" s="36"/>
      <c r="AB57" s="36"/>
    </row>
    <row r="58" spans="1:29" x14ac:dyDescent="0.35">
      <c r="B58" s="11"/>
      <c r="C58" s="31"/>
      <c r="D58" s="12"/>
      <c r="E58" s="12"/>
      <c r="F58" s="12"/>
      <c r="G58" s="12"/>
      <c r="H58" s="12"/>
      <c r="I58" s="12"/>
      <c r="J58" s="12"/>
      <c r="K58" s="12"/>
      <c r="L58" s="11"/>
      <c r="M58" s="11"/>
      <c r="N58" s="11"/>
      <c r="O58" s="37"/>
      <c r="P58" s="13"/>
      <c r="Q58" s="14"/>
      <c r="R58" s="14"/>
      <c r="S58" s="14"/>
      <c r="T58" s="38"/>
      <c r="U58" s="38"/>
      <c r="V58" s="15"/>
      <c r="W58" s="39"/>
      <c r="X58" s="39"/>
      <c r="Y58" s="39"/>
      <c r="Z58" s="39"/>
      <c r="AA58" s="39"/>
      <c r="AB58" s="39"/>
    </row>
    <row r="59" spans="1:29" x14ac:dyDescent="0.35">
      <c r="B59" s="11"/>
      <c r="C59" s="31"/>
      <c r="D59" s="12"/>
      <c r="E59" s="12"/>
      <c r="F59" s="12"/>
      <c r="G59" s="12"/>
      <c r="H59" s="12"/>
      <c r="I59" s="12"/>
      <c r="J59" s="12"/>
      <c r="K59" s="12"/>
      <c r="L59" s="11"/>
      <c r="M59" s="11"/>
      <c r="N59" s="11"/>
      <c r="O59" s="37"/>
      <c r="P59" s="13"/>
      <c r="Q59" s="14"/>
      <c r="R59" s="14"/>
      <c r="S59" s="14"/>
      <c r="T59" s="38"/>
      <c r="U59" s="38"/>
      <c r="V59" s="16"/>
      <c r="W59" s="39"/>
      <c r="X59" s="39"/>
      <c r="Y59" s="39"/>
      <c r="Z59" s="39"/>
      <c r="AA59" s="39"/>
      <c r="AB59" s="39"/>
    </row>
    <row r="60" spans="1:29" x14ac:dyDescent="0.35">
      <c r="B60" s="11"/>
      <c r="C60" s="31"/>
      <c r="D60" s="12"/>
      <c r="E60" s="12"/>
      <c r="F60" s="12"/>
      <c r="G60" s="12"/>
      <c r="H60" s="12"/>
      <c r="I60" s="12"/>
      <c r="J60" s="12"/>
      <c r="K60" s="12"/>
      <c r="L60" s="11"/>
      <c r="M60" s="11"/>
      <c r="N60" s="11"/>
      <c r="O60" s="37"/>
      <c r="P60" s="13"/>
      <c r="Q60" s="14"/>
      <c r="R60" s="14"/>
      <c r="S60" s="14"/>
      <c r="T60" s="38"/>
      <c r="U60" s="38"/>
      <c r="V60" s="16"/>
      <c r="W60" s="39"/>
      <c r="X60" s="39"/>
      <c r="Y60" s="39"/>
      <c r="Z60" s="39"/>
      <c r="AA60" s="39"/>
      <c r="AB60" s="39"/>
    </row>
    <row r="61" spans="1:29" x14ac:dyDescent="0.35">
      <c r="B61" s="127"/>
      <c r="C61" s="127"/>
      <c r="D61" s="128"/>
      <c r="E61" s="129"/>
      <c r="F61" s="129"/>
      <c r="G61" s="129"/>
      <c r="H61" s="129"/>
      <c r="I61" s="129"/>
      <c r="J61" s="129"/>
      <c r="K61" s="129"/>
      <c r="L61" s="129"/>
      <c r="M61" s="127"/>
      <c r="N61" s="127"/>
      <c r="O61" s="127"/>
      <c r="P61" s="130"/>
      <c r="Q61" s="131"/>
      <c r="R61" s="132"/>
      <c r="S61" s="132"/>
      <c r="T61" s="132"/>
      <c r="U61" s="133"/>
      <c r="V61" s="133"/>
      <c r="W61" s="134"/>
      <c r="X61" s="126"/>
      <c r="Y61" s="126"/>
      <c r="Z61" s="126"/>
      <c r="AA61" s="126"/>
      <c r="AB61" s="126"/>
      <c r="AC61" s="126"/>
    </row>
    <row r="62" spans="1:29" x14ac:dyDescent="0.35">
      <c r="B62" s="127"/>
      <c r="C62" s="127"/>
      <c r="D62" s="128"/>
      <c r="E62" s="129"/>
      <c r="F62" s="129"/>
      <c r="G62" s="129"/>
      <c r="H62" s="129"/>
      <c r="I62" s="129"/>
      <c r="J62" s="129"/>
      <c r="K62" s="129"/>
      <c r="L62" s="129"/>
      <c r="M62" s="127"/>
      <c r="N62" s="127"/>
      <c r="O62" s="127"/>
      <c r="P62" s="130"/>
      <c r="Q62" s="131"/>
      <c r="R62" s="132"/>
      <c r="S62" s="132"/>
      <c r="T62" s="132"/>
      <c r="U62" s="133"/>
      <c r="V62" s="133"/>
      <c r="W62" s="134"/>
      <c r="X62" s="126"/>
      <c r="Y62" s="126"/>
      <c r="Z62" s="126"/>
      <c r="AA62" s="126"/>
      <c r="AB62" s="126"/>
      <c r="AC62" s="126"/>
    </row>
  </sheetData>
  <pageMargins left="0.7" right="0.7" top="0.75" bottom="0.75" header="0.3" footer="0.3"/>
  <pageSetup paperSize="9" scale="13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63"/>
  <sheetViews>
    <sheetView zoomScaleNormal="100" workbookViewId="0">
      <pane xSplit="2" ySplit="9" topLeftCell="N51" activePane="bottomRight" state="frozen"/>
      <selection activeCell="L5" sqref="L5"/>
      <selection pane="topRight" activeCell="L5" sqref="L5"/>
      <selection pane="bottomLeft" activeCell="L5" sqref="L5"/>
      <selection pane="bottomRight" activeCell="B2" sqref="B2:AB60"/>
    </sheetView>
  </sheetViews>
  <sheetFormatPr defaultColWidth="11.453125" defaultRowHeight="14.5" x14ac:dyDescent="0.35"/>
  <cols>
    <col min="1" max="1" width="11.1796875" bestFit="1" customWidth="1"/>
    <col min="2" max="2" width="20.453125" customWidth="1"/>
    <col min="3" max="3" width="13.54296875" customWidth="1"/>
    <col min="4" max="4" width="12.81640625" customWidth="1"/>
    <col min="5" max="5" width="25.54296875" style="149" customWidth="1"/>
    <col min="6" max="12" width="12.26953125" customWidth="1"/>
    <col min="13" max="13" width="17" customWidth="1"/>
    <col min="14" max="14" width="14.26953125" customWidth="1"/>
    <col min="15" max="15" width="11.453125" customWidth="1"/>
    <col min="16" max="30" width="13" customWidth="1"/>
  </cols>
  <sheetData>
    <row r="2" spans="2:28" ht="18.5" x14ac:dyDescent="0.45">
      <c r="B2" s="18" t="s">
        <v>13</v>
      </c>
      <c r="C2" s="1"/>
    </row>
    <row r="3" spans="2:28" x14ac:dyDescent="0.35">
      <c r="B3" s="23"/>
      <c r="C3" s="23"/>
      <c r="F3" s="23"/>
      <c r="G3" s="208"/>
      <c r="H3" s="208"/>
      <c r="I3" s="208"/>
      <c r="Q3" s="23"/>
      <c r="R3" s="23"/>
      <c r="S3" s="23"/>
    </row>
    <row r="4" spans="2:28" ht="15.5" x14ac:dyDescent="0.35">
      <c r="B4" s="62" t="s">
        <v>12</v>
      </c>
      <c r="C4" s="144" t="s">
        <v>481</v>
      </c>
      <c r="D4" s="145"/>
      <c r="E4" s="146"/>
      <c r="G4" s="208"/>
      <c r="H4" s="208"/>
      <c r="I4" s="208"/>
      <c r="Q4" s="23"/>
      <c r="R4" s="23"/>
      <c r="S4" s="23"/>
    </row>
    <row r="5" spans="2:28" ht="15.5" x14ac:dyDescent="0.35">
      <c r="B5" s="62" t="s">
        <v>527</v>
      </c>
      <c r="C5" s="144" t="s">
        <v>528</v>
      </c>
      <c r="D5" s="145"/>
      <c r="E5" s="147"/>
      <c r="G5" s="208"/>
      <c r="H5" s="208"/>
      <c r="I5" s="208"/>
      <c r="Q5" s="23"/>
      <c r="R5" s="23"/>
      <c r="S5" s="23"/>
    </row>
    <row r="6" spans="2:28" ht="15.5" x14ac:dyDescent="0.35">
      <c r="B6" s="64" t="s">
        <v>19</v>
      </c>
      <c r="C6" s="144" t="s">
        <v>529</v>
      </c>
      <c r="D6" s="145"/>
      <c r="E6" s="147"/>
      <c r="Q6" s="23"/>
      <c r="R6" s="23"/>
      <c r="S6" s="23"/>
    </row>
    <row r="7" spans="2:28" ht="15.5" x14ac:dyDescent="0.35">
      <c r="B7" s="62" t="s">
        <v>32</v>
      </c>
      <c r="C7" s="148" t="s">
        <v>484</v>
      </c>
      <c r="D7" s="103"/>
    </row>
    <row r="8" spans="2:28" ht="16" thickBot="1" x14ac:dyDescent="0.4">
      <c r="B8" s="70"/>
      <c r="C8" s="103"/>
      <c r="D8" s="103"/>
    </row>
    <row r="9" spans="2:28" ht="52.5" x14ac:dyDescent="0.35">
      <c r="B9" s="19" t="s">
        <v>344</v>
      </c>
      <c r="C9" s="19" t="s">
        <v>2</v>
      </c>
      <c r="D9" s="19" t="s">
        <v>21</v>
      </c>
      <c r="E9" s="19" t="s">
        <v>1</v>
      </c>
      <c r="F9" s="19" t="s">
        <v>22</v>
      </c>
      <c r="G9" s="19" t="s">
        <v>14</v>
      </c>
      <c r="H9" s="19" t="s">
        <v>18</v>
      </c>
      <c r="I9" s="19" t="s">
        <v>15</v>
      </c>
      <c r="J9" s="19" t="s">
        <v>10</v>
      </c>
      <c r="K9" s="19" t="s">
        <v>23</v>
      </c>
      <c r="L9" s="19" t="s">
        <v>16</v>
      </c>
      <c r="M9" s="19" t="s">
        <v>3</v>
      </c>
      <c r="N9" s="19" t="s">
        <v>11</v>
      </c>
      <c r="O9" s="19" t="s">
        <v>4</v>
      </c>
      <c r="P9" s="19" t="s">
        <v>5</v>
      </c>
      <c r="Q9" s="19" t="s">
        <v>24</v>
      </c>
      <c r="R9" s="19" t="s">
        <v>25</v>
      </c>
      <c r="S9" s="19" t="s">
        <v>26</v>
      </c>
      <c r="T9" s="19" t="s">
        <v>27</v>
      </c>
      <c r="U9" s="19" t="s">
        <v>6</v>
      </c>
      <c r="V9" s="19" t="s">
        <v>7</v>
      </c>
      <c r="W9" s="19" t="s">
        <v>28</v>
      </c>
      <c r="X9" s="19" t="s">
        <v>29</v>
      </c>
      <c r="Y9" s="19" t="s">
        <v>30</v>
      </c>
      <c r="Z9" s="19" t="s">
        <v>31</v>
      </c>
      <c r="AA9" s="57" t="s">
        <v>8</v>
      </c>
      <c r="AB9" s="57" t="s">
        <v>9</v>
      </c>
    </row>
    <row r="10" spans="2:28" ht="48" x14ac:dyDescent="0.35">
      <c r="B10" s="179"/>
      <c r="C10" s="207" t="s">
        <v>485</v>
      </c>
      <c r="D10" s="374">
        <v>24701.260000000002</v>
      </c>
      <c r="E10" s="374">
        <v>704</v>
      </c>
      <c r="F10" s="374">
        <v>5435.3600000000006</v>
      </c>
      <c r="G10" s="374"/>
      <c r="H10" s="374">
        <v>2108.67</v>
      </c>
      <c r="I10" s="374">
        <v>2108.67</v>
      </c>
      <c r="J10" s="374">
        <v>30840.620000000003</v>
      </c>
      <c r="K10" s="374">
        <v>9643.7184000000016</v>
      </c>
      <c r="L10" s="228">
        <v>0</v>
      </c>
      <c r="M10" s="225" t="s">
        <v>387</v>
      </c>
      <c r="N10" s="225" t="s">
        <v>365</v>
      </c>
      <c r="O10" s="375">
        <v>39417</v>
      </c>
      <c r="P10" s="230"/>
      <c r="Q10" s="225">
        <v>1734</v>
      </c>
      <c r="R10" s="225">
        <v>82</v>
      </c>
      <c r="S10" s="381">
        <v>47748</v>
      </c>
      <c r="T10" s="376" t="s">
        <v>486</v>
      </c>
      <c r="U10" s="376">
        <v>2</v>
      </c>
      <c r="V10" s="382" t="s">
        <v>530</v>
      </c>
      <c r="W10" s="234"/>
      <c r="X10" s="234" t="s">
        <v>0</v>
      </c>
      <c r="Y10" s="234"/>
      <c r="Z10" s="234"/>
      <c r="AA10" s="234"/>
      <c r="AB10" s="234"/>
    </row>
    <row r="11" spans="2:28" ht="48" x14ac:dyDescent="0.35">
      <c r="B11" s="154"/>
      <c r="C11" s="207" t="s">
        <v>485</v>
      </c>
      <c r="D11" s="250">
        <v>23296.920000000002</v>
      </c>
      <c r="E11" s="250">
        <v>2001.75</v>
      </c>
      <c r="F11" s="250">
        <v>386.81999999999971</v>
      </c>
      <c r="G11" s="250"/>
      <c r="H11" s="250">
        <v>1647.75</v>
      </c>
      <c r="I11" s="250">
        <v>1647.75</v>
      </c>
      <c r="J11" s="250">
        <v>25685.49</v>
      </c>
      <c r="K11" s="250">
        <v>7578.796800000001</v>
      </c>
      <c r="L11" s="237">
        <v>0</v>
      </c>
      <c r="M11" s="235" t="s">
        <v>387</v>
      </c>
      <c r="N11" s="235" t="s">
        <v>365</v>
      </c>
      <c r="O11" s="211">
        <v>38495</v>
      </c>
      <c r="P11" s="238"/>
      <c r="Q11" s="235">
        <v>1734</v>
      </c>
      <c r="R11" s="235">
        <v>100</v>
      </c>
      <c r="S11" s="352"/>
      <c r="T11" s="251" t="s">
        <v>487</v>
      </c>
      <c r="U11" s="251">
        <v>4</v>
      </c>
      <c r="V11" s="207"/>
      <c r="W11" s="242"/>
      <c r="X11" s="242"/>
      <c r="Y11" s="242"/>
      <c r="Z11" s="242"/>
      <c r="AA11" s="242"/>
      <c r="AB11" s="242"/>
    </row>
    <row r="12" spans="2:28" ht="48" x14ac:dyDescent="0.35">
      <c r="B12" s="154"/>
      <c r="C12" s="207" t="s">
        <v>485</v>
      </c>
      <c r="D12" s="250">
        <v>30740.639999999999</v>
      </c>
      <c r="E12" s="250">
        <v>4560.68</v>
      </c>
      <c r="F12" s="250">
        <v>11628.479999999996</v>
      </c>
      <c r="G12" s="250"/>
      <c r="H12" s="250">
        <v>2645.52</v>
      </c>
      <c r="I12" s="250">
        <v>2645.52</v>
      </c>
      <c r="J12" s="250">
        <v>46929.799999999996</v>
      </c>
      <c r="K12" s="250">
        <v>13558.118399999999</v>
      </c>
      <c r="L12" s="237">
        <v>3500</v>
      </c>
      <c r="M12" s="235" t="s">
        <v>387</v>
      </c>
      <c r="N12" s="235" t="s">
        <v>365</v>
      </c>
      <c r="O12" s="211">
        <v>32843</v>
      </c>
      <c r="P12" s="238"/>
      <c r="Q12" s="235">
        <v>1734</v>
      </c>
      <c r="R12" s="235">
        <v>100</v>
      </c>
      <c r="S12" s="352"/>
      <c r="T12" s="251" t="s">
        <v>522</v>
      </c>
      <c r="U12" s="251">
        <v>2</v>
      </c>
      <c r="V12" s="207"/>
      <c r="W12" s="242"/>
      <c r="X12" s="242"/>
      <c r="Y12" s="242"/>
      <c r="Z12" s="242"/>
      <c r="AA12" s="242"/>
      <c r="AB12" s="242"/>
    </row>
    <row r="13" spans="2:28" ht="48" x14ac:dyDescent="0.35">
      <c r="B13" s="154"/>
      <c r="C13" s="207" t="s">
        <v>485</v>
      </c>
      <c r="D13" s="250">
        <v>25332.440000000002</v>
      </c>
      <c r="E13" s="250">
        <v>3258.6899999999996</v>
      </c>
      <c r="F13" s="250">
        <v>2865.9399999999987</v>
      </c>
      <c r="G13" s="250"/>
      <c r="H13" s="250">
        <v>1990.47</v>
      </c>
      <c r="I13" s="250">
        <v>1990.47</v>
      </c>
      <c r="J13" s="250">
        <v>31457.07</v>
      </c>
      <c r="K13" s="250">
        <v>9023.481600000001</v>
      </c>
      <c r="L13" s="237">
        <v>0</v>
      </c>
      <c r="M13" s="235" t="s">
        <v>387</v>
      </c>
      <c r="N13" s="235" t="s">
        <v>365</v>
      </c>
      <c r="O13" s="211">
        <v>33147</v>
      </c>
      <c r="P13" s="238"/>
      <c r="Q13" s="235">
        <v>1734</v>
      </c>
      <c r="R13" s="235">
        <v>100</v>
      </c>
      <c r="S13" s="352"/>
      <c r="T13" s="251" t="s">
        <v>531</v>
      </c>
      <c r="U13" s="251">
        <v>4</v>
      </c>
      <c r="V13" s="207"/>
      <c r="W13" s="242"/>
      <c r="X13" s="242"/>
      <c r="Y13" s="242"/>
      <c r="Z13" s="242"/>
      <c r="AA13" s="242"/>
      <c r="AB13" s="242"/>
    </row>
    <row r="14" spans="2:28" ht="48" x14ac:dyDescent="0.35">
      <c r="B14" s="154"/>
      <c r="C14" s="207" t="s">
        <v>485</v>
      </c>
      <c r="D14" s="250">
        <v>30518.879999999997</v>
      </c>
      <c r="E14" s="250">
        <v>3448.38</v>
      </c>
      <c r="F14" s="250">
        <v>6628.4400000000023</v>
      </c>
      <c r="G14" s="250"/>
      <c r="H14" s="250">
        <v>2629.68</v>
      </c>
      <c r="I14" s="250">
        <v>2629.68</v>
      </c>
      <c r="J14" s="250">
        <v>40595.699999999997</v>
      </c>
      <c r="K14" s="250">
        <v>11887.142400000001</v>
      </c>
      <c r="L14" s="237">
        <v>0</v>
      </c>
      <c r="M14" s="235" t="s">
        <v>387</v>
      </c>
      <c r="N14" s="235" t="s">
        <v>365</v>
      </c>
      <c r="O14" s="211">
        <v>35499</v>
      </c>
      <c r="P14" s="238"/>
      <c r="Q14" s="235">
        <v>1734</v>
      </c>
      <c r="R14" s="235">
        <v>100</v>
      </c>
      <c r="S14" s="352"/>
      <c r="T14" s="251" t="s">
        <v>488</v>
      </c>
      <c r="U14" s="251">
        <v>2</v>
      </c>
      <c r="V14" s="382" t="s">
        <v>530</v>
      </c>
      <c r="W14" s="242"/>
      <c r="X14" s="242"/>
      <c r="Y14" s="242"/>
      <c r="Z14" s="242"/>
      <c r="AA14" s="242"/>
      <c r="AB14" s="379"/>
    </row>
    <row r="15" spans="2:28" ht="48" x14ac:dyDescent="0.35">
      <c r="B15" s="154"/>
      <c r="C15" s="207" t="s">
        <v>485</v>
      </c>
      <c r="D15" s="250">
        <v>34079.78</v>
      </c>
      <c r="E15" s="250">
        <v>5540.04</v>
      </c>
      <c r="F15" s="250">
        <v>26089.699999999997</v>
      </c>
      <c r="G15" s="250"/>
      <c r="H15" s="250">
        <v>4274.12</v>
      </c>
      <c r="I15" s="250">
        <v>4274.12</v>
      </c>
      <c r="J15" s="250">
        <v>65709.51999999999</v>
      </c>
      <c r="K15" s="250">
        <v>18126.72</v>
      </c>
      <c r="L15" s="237">
        <v>1900</v>
      </c>
      <c r="M15" s="235" t="s">
        <v>387</v>
      </c>
      <c r="N15" s="235" t="s">
        <v>365</v>
      </c>
      <c r="O15" s="211">
        <v>35067</v>
      </c>
      <c r="P15" s="238"/>
      <c r="Q15" s="235">
        <v>1734</v>
      </c>
      <c r="R15" s="235">
        <v>100</v>
      </c>
      <c r="S15" s="352"/>
      <c r="T15" s="251" t="s">
        <v>493</v>
      </c>
      <c r="U15" s="251">
        <v>1</v>
      </c>
      <c r="V15" s="207"/>
      <c r="W15" s="242"/>
      <c r="X15" s="242"/>
      <c r="Y15" s="242"/>
      <c r="Z15" s="242"/>
      <c r="AA15" s="380"/>
      <c r="AB15" s="242"/>
    </row>
    <row r="16" spans="2:28" ht="48" x14ac:dyDescent="0.35">
      <c r="B16" s="154"/>
      <c r="C16" s="207" t="s">
        <v>485</v>
      </c>
      <c r="D16" s="250">
        <v>29704.78</v>
      </c>
      <c r="E16" s="250">
        <v>5946.329999999999</v>
      </c>
      <c r="F16" s="250">
        <v>6628.4400000000023</v>
      </c>
      <c r="G16" s="250"/>
      <c r="H16" s="250">
        <v>2571.5299999999997</v>
      </c>
      <c r="I16" s="250">
        <v>2571.5299999999997</v>
      </c>
      <c r="J16" s="250">
        <v>42279.55</v>
      </c>
      <c r="K16" s="250">
        <v>11626.6304</v>
      </c>
      <c r="L16" s="351">
        <v>0</v>
      </c>
      <c r="M16" s="250" t="s">
        <v>387</v>
      </c>
      <c r="N16" s="235" t="s">
        <v>365</v>
      </c>
      <c r="O16" s="211">
        <v>39356</v>
      </c>
      <c r="P16" s="238"/>
      <c r="Q16" s="235">
        <v>1734</v>
      </c>
      <c r="R16" s="235">
        <v>100</v>
      </c>
      <c r="S16" s="352"/>
      <c r="T16" s="251" t="s">
        <v>486</v>
      </c>
      <c r="U16" s="251">
        <v>2</v>
      </c>
      <c r="V16" s="353"/>
      <c r="W16" s="242"/>
      <c r="X16" s="242"/>
      <c r="Y16" s="242"/>
      <c r="Z16" s="242"/>
      <c r="AA16" s="380"/>
      <c r="AB16" s="242"/>
    </row>
    <row r="17" spans="2:28" ht="48" x14ac:dyDescent="0.35">
      <c r="B17" s="154"/>
      <c r="C17" s="207" t="s">
        <v>485</v>
      </c>
      <c r="D17" s="250">
        <v>7934.6399999999994</v>
      </c>
      <c r="E17" s="250">
        <v>145.18</v>
      </c>
      <c r="F17" s="250">
        <v>1657.1800000000003</v>
      </c>
      <c r="G17" s="250"/>
      <c r="H17" s="250">
        <v>661.43000000000006</v>
      </c>
      <c r="I17" s="250">
        <v>661.43000000000006</v>
      </c>
      <c r="J17" s="250">
        <v>9737</v>
      </c>
      <c r="K17" s="250">
        <v>3069.3824</v>
      </c>
      <c r="L17" s="351">
        <v>0</v>
      </c>
      <c r="M17" s="250" t="s">
        <v>520</v>
      </c>
      <c r="N17" s="235" t="s">
        <v>521</v>
      </c>
      <c r="O17" s="211">
        <v>32338</v>
      </c>
      <c r="P17" s="238">
        <v>45913</v>
      </c>
      <c r="Q17" s="235">
        <v>1734</v>
      </c>
      <c r="R17" s="235">
        <v>25</v>
      </c>
      <c r="S17" s="352"/>
      <c r="T17" s="251" t="s">
        <v>488</v>
      </c>
      <c r="U17" s="251">
        <v>2</v>
      </c>
      <c r="V17" s="353"/>
      <c r="W17" s="242"/>
      <c r="X17" s="242"/>
      <c r="Y17" s="242"/>
      <c r="Z17" s="242"/>
      <c r="AA17" s="380"/>
      <c r="AB17" s="242"/>
    </row>
    <row r="18" spans="2:28" ht="58" x14ac:dyDescent="0.35">
      <c r="B18" s="154"/>
      <c r="C18" s="207" t="s">
        <v>485</v>
      </c>
      <c r="D18" s="250">
        <v>25421.200000000001</v>
      </c>
      <c r="E18" s="250">
        <v>3467.8100000000004</v>
      </c>
      <c r="F18" s="250">
        <v>15268.820000000003</v>
      </c>
      <c r="G18" s="250"/>
      <c r="H18" s="250">
        <v>2882.73</v>
      </c>
      <c r="I18" s="250">
        <v>2882.73</v>
      </c>
      <c r="J18" s="250">
        <v>44157.83</v>
      </c>
      <c r="K18" s="250">
        <v>13020.806400000001</v>
      </c>
      <c r="L18" s="351">
        <v>1425</v>
      </c>
      <c r="M18" s="250" t="s">
        <v>391</v>
      </c>
      <c r="N18" s="235" t="s">
        <v>365</v>
      </c>
      <c r="O18" s="211">
        <v>36714</v>
      </c>
      <c r="P18" s="238"/>
      <c r="Q18" s="235">
        <v>1734</v>
      </c>
      <c r="R18" s="235">
        <v>75</v>
      </c>
      <c r="S18" s="352"/>
      <c r="T18" s="251" t="s">
        <v>491</v>
      </c>
      <c r="U18" s="251">
        <v>1</v>
      </c>
      <c r="V18" s="353"/>
      <c r="W18" s="242" t="s">
        <v>489</v>
      </c>
      <c r="X18" s="242"/>
      <c r="Y18" s="242"/>
      <c r="Z18" s="242"/>
      <c r="AA18" s="380"/>
      <c r="AB18" s="242" t="s">
        <v>532</v>
      </c>
    </row>
    <row r="19" spans="2:28" ht="48" x14ac:dyDescent="0.35">
      <c r="B19" s="154"/>
      <c r="C19" s="207" t="s">
        <v>485</v>
      </c>
      <c r="D19" s="250">
        <v>25332.440000000002</v>
      </c>
      <c r="E19" s="250">
        <v>3137.2699999999995</v>
      </c>
      <c r="F19" s="250">
        <v>2865.9399999999987</v>
      </c>
      <c r="G19" s="250"/>
      <c r="H19" s="250">
        <v>1990.47</v>
      </c>
      <c r="I19" s="250">
        <v>1990.47</v>
      </c>
      <c r="J19" s="250">
        <v>31335.65</v>
      </c>
      <c r="K19" s="250">
        <v>9023.481600000001</v>
      </c>
      <c r="L19" s="351">
        <v>0</v>
      </c>
      <c r="M19" s="250" t="s">
        <v>387</v>
      </c>
      <c r="N19" s="235" t="s">
        <v>365</v>
      </c>
      <c r="O19" s="211">
        <v>33147</v>
      </c>
      <c r="P19" s="238"/>
      <c r="Q19" s="235">
        <v>1734</v>
      </c>
      <c r="R19" s="235">
        <v>100</v>
      </c>
      <c r="S19" s="352"/>
      <c r="T19" s="251" t="s">
        <v>531</v>
      </c>
      <c r="U19" s="251">
        <v>4</v>
      </c>
      <c r="V19" s="353"/>
      <c r="W19" s="242"/>
      <c r="X19" s="242"/>
      <c r="Y19" s="242"/>
      <c r="Z19" s="242"/>
      <c r="AA19" s="380"/>
      <c r="AB19" s="242"/>
    </row>
    <row r="20" spans="2:28" ht="48" x14ac:dyDescent="0.35">
      <c r="B20" s="154"/>
      <c r="C20" s="207" t="s">
        <v>485</v>
      </c>
      <c r="D20" s="250">
        <v>30075.360000000001</v>
      </c>
      <c r="E20" s="250">
        <v>2342.71</v>
      </c>
      <c r="F20" s="250">
        <v>6628.4400000000023</v>
      </c>
      <c r="G20" s="250"/>
      <c r="H20" s="250">
        <v>2598</v>
      </c>
      <c r="I20" s="250">
        <v>2598</v>
      </c>
      <c r="J20" s="250">
        <v>39046.51</v>
      </c>
      <c r="K20" s="250">
        <v>11745.216</v>
      </c>
      <c r="L20" s="351">
        <v>0</v>
      </c>
      <c r="M20" s="250" t="s">
        <v>387</v>
      </c>
      <c r="N20" s="235" t="s">
        <v>365</v>
      </c>
      <c r="O20" s="211">
        <v>37712</v>
      </c>
      <c r="P20" s="238"/>
      <c r="Q20" s="235">
        <v>1734</v>
      </c>
      <c r="R20" s="235">
        <v>100</v>
      </c>
      <c r="S20" s="352"/>
      <c r="T20" s="251" t="s">
        <v>486</v>
      </c>
      <c r="U20" s="251">
        <v>2</v>
      </c>
      <c r="V20" s="353"/>
      <c r="W20" s="242"/>
      <c r="X20" s="242"/>
      <c r="Y20" s="242"/>
      <c r="Z20" s="242"/>
      <c r="AA20" s="380"/>
      <c r="AB20" s="242"/>
    </row>
    <row r="21" spans="2:28" ht="48" x14ac:dyDescent="0.35">
      <c r="B21" s="154"/>
      <c r="C21" s="207" t="s">
        <v>485</v>
      </c>
      <c r="D21" s="250">
        <v>25284.080000000002</v>
      </c>
      <c r="E21" s="250">
        <v>1506.53</v>
      </c>
      <c r="F21" s="250">
        <v>3374.5599999999977</v>
      </c>
      <c r="G21" s="250"/>
      <c r="H21" s="250">
        <v>1992.1800000000003</v>
      </c>
      <c r="I21" s="250">
        <v>1992.1800000000003</v>
      </c>
      <c r="J21" s="250">
        <v>30165.17</v>
      </c>
      <c r="K21" s="250">
        <v>9170.7648000000008</v>
      </c>
      <c r="L21" s="351">
        <v>0</v>
      </c>
      <c r="M21" s="250" t="s">
        <v>387</v>
      </c>
      <c r="N21" s="235" t="s">
        <v>365</v>
      </c>
      <c r="O21" s="211">
        <v>33392</v>
      </c>
      <c r="P21" s="238"/>
      <c r="Q21" s="235">
        <v>1734</v>
      </c>
      <c r="R21" s="235">
        <v>100</v>
      </c>
      <c r="S21" s="352"/>
      <c r="T21" s="251" t="s">
        <v>533</v>
      </c>
      <c r="U21" s="251">
        <v>4</v>
      </c>
      <c r="V21" s="353"/>
      <c r="W21" s="242"/>
      <c r="X21" s="242"/>
      <c r="Y21" s="242"/>
      <c r="Z21" s="242"/>
      <c r="AA21" s="380"/>
      <c r="AB21" s="242"/>
    </row>
    <row r="22" spans="2:28" ht="48" x14ac:dyDescent="0.35">
      <c r="B22" s="154"/>
      <c r="C22" s="207" t="s">
        <v>485</v>
      </c>
      <c r="D22" s="250">
        <v>24512.22</v>
      </c>
      <c r="E22" s="250">
        <v>1196.7099999999998</v>
      </c>
      <c r="F22" s="250">
        <v>386.81999999999971</v>
      </c>
      <c r="G22" s="250"/>
      <c r="H22" s="250">
        <v>1744.68</v>
      </c>
      <c r="I22" s="250">
        <v>1744.68</v>
      </c>
      <c r="J22" s="250">
        <v>26095.75</v>
      </c>
      <c r="K22" s="250">
        <v>7967.6928000000007</v>
      </c>
      <c r="L22" s="351">
        <v>0</v>
      </c>
      <c r="M22" s="250" t="s">
        <v>387</v>
      </c>
      <c r="N22" s="235" t="s">
        <v>365</v>
      </c>
      <c r="O22" s="211">
        <v>39114</v>
      </c>
      <c r="P22" s="238"/>
      <c r="Q22" s="235">
        <v>1734</v>
      </c>
      <c r="R22" s="235">
        <v>100</v>
      </c>
      <c r="S22" s="352"/>
      <c r="T22" s="251" t="s">
        <v>534</v>
      </c>
      <c r="U22" s="251">
        <v>4</v>
      </c>
      <c r="V22" s="353"/>
      <c r="W22" s="242"/>
      <c r="X22" s="242"/>
      <c r="Y22" s="242"/>
      <c r="Z22" s="242"/>
      <c r="AA22" s="380"/>
      <c r="AB22" s="242"/>
    </row>
    <row r="23" spans="2:28" ht="48" x14ac:dyDescent="0.35">
      <c r="B23" s="154"/>
      <c r="C23" s="207" t="s">
        <v>485</v>
      </c>
      <c r="D23" s="250">
        <v>30727.84</v>
      </c>
      <c r="E23" s="250">
        <v>6352.85</v>
      </c>
      <c r="F23" s="250">
        <v>6628.4399999999987</v>
      </c>
      <c r="G23" s="250"/>
      <c r="H23" s="250">
        <v>2624.36</v>
      </c>
      <c r="I23" s="250">
        <v>2624.36</v>
      </c>
      <c r="J23" s="250">
        <v>43709.13</v>
      </c>
      <c r="K23" s="250">
        <v>11954.009599999999</v>
      </c>
      <c r="L23" s="351">
        <v>0</v>
      </c>
      <c r="M23" s="250" t="s">
        <v>387</v>
      </c>
      <c r="N23" s="235" t="s">
        <v>365</v>
      </c>
      <c r="O23" s="211">
        <v>35827</v>
      </c>
      <c r="P23" s="238"/>
      <c r="Q23" s="235">
        <v>1734</v>
      </c>
      <c r="R23" s="235">
        <v>100</v>
      </c>
      <c r="S23" s="352"/>
      <c r="T23" s="251" t="s">
        <v>486</v>
      </c>
      <c r="U23" s="251">
        <v>2</v>
      </c>
      <c r="V23" s="353"/>
      <c r="W23" s="242"/>
      <c r="X23" s="242"/>
      <c r="Y23" s="242"/>
      <c r="Z23" s="242"/>
      <c r="AA23" s="380"/>
      <c r="AB23" s="242"/>
    </row>
    <row r="24" spans="2:28" ht="48" x14ac:dyDescent="0.35">
      <c r="B24" s="154"/>
      <c r="C24" s="207" t="s">
        <v>485</v>
      </c>
      <c r="D24" s="250">
        <v>30580.42</v>
      </c>
      <c r="E24" s="250">
        <v>4193.3999999999996</v>
      </c>
      <c r="F24" s="250">
        <v>6628.4400000000023</v>
      </c>
      <c r="G24" s="250"/>
      <c r="H24" s="250">
        <v>2613.8299999999995</v>
      </c>
      <c r="I24" s="250">
        <v>2613.8299999999995</v>
      </c>
      <c r="J24" s="250">
        <v>41402.26</v>
      </c>
      <c r="K24" s="250">
        <v>11906.8352</v>
      </c>
      <c r="L24" s="351">
        <v>0</v>
      </c>
      <c r="M24" s="250" t="s">
        <v>387</v>
      </c>
      <c r="N24" s="247" t="s">
        <v>365</v>
      </c>
      <c r="O24" s="211">
        <v>36586</v>
      </c>
      <c r="P24" s="238"/>
      <c r="Q24" s="235">
        <v>1734</v>
      </c>
      <c r="R24" s="235">
        <v>100</v>
      </c>
      <c r="S24" s="352"/>
      <c r="T24" s="251" t="s">
        <v>486</v>
      </c>
      <c r="U24" s="251">
        <v>2</v>
      </c>
      <c r="V24" s="353"/>
      <c r="W24" s="242"/>
      <c r="X24" s="242"/>
      <c r="Y24" s="242"/>
      <c r="Z24" s="242"/>
      <c r="AA24" s="380"/>
      <c r="AB24" s="242"/>
    </row>
    <row r="25" spans="2:28" ht="48" x14ac:dyDescent="0.35">
      <c r="B25" s="154"/>
      <c r="C25" s="207" t="s">
        <v>485</v>
      </c>
      <c r="D25" s="250">
        <v>24586.7</v>
      </c>
      <c r="E25" s="250">
        <v>1492.0600000000002</v>
      </c>
      <c r="F25" s="250">
        <v>386.81999999999971</v>
      </c>
      <c r="G25" s="250"/>
      <c r="H25" s="250">
        <v>1750</v>
      </c>
      <c r="I25" s="250">
        <v>1750</v>
      </c>
      <c r="J25" s="250">
        <v>26465.58</v>
      </c>
      <c r="K25" s="250">
        <v>7991.5264000000006</v>
      </c>
      <c r="L25" s="351">
        <v>0</v>
      </c>
      <c r="M25" s="250" t="s">
        <v>387</v>
      </c>
      <c r="N25" s="235" t="s">
        <v>365</v>
      </c>
      <c r="O25" s="211">
        <v>38839</v>
      </c>
      <c r="P25" s="238"/>
      <c r="Q25" s="235">
        <v>1734</v>
      </c>
      <c r="R25" s="235">
        <v>100</v>
      </c>
      <c r="S25" s="352"/>
      <c r="T25" s="251" t="s">
        <v>534</v>
      </c>
      <c r="U25" s="251">
        <v>4</v>
      </c>
      <c r="V25" s="353"/>
      <c r="W25" s="242"/>
      <c r="X25" s="242"/>
      <c r="Y25" s="242"/>
      <c r="Z25" s="242"/>
      <c r="AA25" s="380"/>
      <c r="AB25" s="242"/>
    </row>
    <row r="26" spans="2:28" ht="48" x14ac:dyDescent="0.35">
      <c r="B26" s="154"/>
      <c r="C26" s="207" t="s">
        <v>485</v>
      </c>
      <c r="D26" s="250">
        <v>22218.84</v>
      </c>
      <c r="E26" s="250">
        <v>1900.59</v>
      </c>
      <c r="F26" s="250">
        <v>386.81999999999971</v>
      </c>
      <c r="G26" s="250"/>
      <c r="H26" s="250">
        <v>1590.99</v>
      </c>
      <c r="I26" s="250">
        <v>1590.99</v>
      </c>
      <c r="J26" s="250">
        <v>24506.25</v>
      </c>
      <c r="K26" s="250">
        <v>7233.8112000000001</v>
      </c>
      <c r="L26" s="351">
        <v>0</v>
      </c>
      <c r="M26" s="250" t="s">
        <v>387</v>
      </c>
      <c r="N26" s="235" t="s">
        <v>365</v>
      </c>
      <c r="O26" s="211">
        <v>42170</v>
      </c>
      <c r="P26" s="238"/>
      <c r="Q26" s="235">
        <v>1734</v>
      </c>
      <c r="R26" s="235">
        <v>100</v>
      </c>
      <c r="S26" s="352"/>
      <c r="T26" s="251" t="s">
        <v>487</v>
      </c>
      <c r="U26" s="251">
        <v>4</v>
      </c>
      <c r="V26" s="353"/>
      <c r="W26" s="242"/>
      <c r="X26" s="242"/>
      <c r="Y26" s="242"/>
      <c r="Z26" s="242"/>
      <c r="AA26" s="380"/>
      <c r="AB26" s="242"/>
    </row>
    <row r="27" spans="2:28" ht="48" x14ac:dyDescent="0.35">
      <c r="B27" s="154"/>
      <c r="C27" s="207" t="s">
        <v>485</v>
      </c>
      <c r="D27" s="250">
        <v>28482.579999999998</v>
      </c>
      <c r="E27" s="250">
        <v>14782.849999999999</v>
      </c>
      <c r="F27" s="250">
        <v>6628.4399999999987</v>
      </c>
      <c r="G27" s="250"/>
      <c r="H27" s="250">
        <v>2507.9299999999998</v>
      </c>
      <c r="I27" s="250">
        <v>2507.9299999999998</v>
      </c>
      <c r="J27" s="250">
        <v>49893.869999999995</v>
      </c>
      <c r="K27" s="250">
        <v>11235.526399999999</v>
      </c>
      <c r="L27" s="351">
        <v>0</v>
      </c>
      <c r="M27" s="250" t="s">
        <v>387</v>
      </c>
      <c r="N27" s="235" t="s">
        <v>365</v>
      </c>
      <c r="O27" s="211">
        <v>43282</v>
      </c>
      <c r="P27" s="238"/>
      <c r="Q27" s="235">
        <v>1734</v>
      </c>
      <c r="R27" s="235">
        <v>100</v>
      </c>
      <c r="S27" s="352"/>
      <c r="T27" s="251" t="s">
        <v>486</v>
      </c>
      <c r="U27" s="251">
        <v>2</v>
      </c>
      <c r="V27" s="353"/>
      <c r="W27" s="242"/>
      <c r="X27" s="242"/>
      <c r="Y27" s="242"/>
      <c r="Z27" s="242"/>
      <c r="AA27" s="380"/>
      <c r="AB27" s="242"/>
    </row>
    <row r="28" spans="2:28" ht="48" x14ac:dyDescent="0.35">
      <c r="B28" s="154"/>
      <c r="C28" s="207" t="s">
        <v>485</v>
      </c>
      <c r="D28" s="250">
        <v>27466.600000000002</v>
      </c>
      <c r="E28" s="250">
        <v>2475.39</v>
      </c>
      <c r="F28" s="250">
        <v>6628.4399999999987</v>
      </c>
      <c r="G28" s="250"/>
      <c r="H28" s="250">
        <v>2435.36</v>
      </c>
      <c r="I28" s="250">
        <v>2435.36</v>
      </c>
      <c r="J28" s="250">
        <v>36570.43</v>
      </c>
      <c r="K28" s="250">
        <v>10910.4128</v>
      </c>
      <c r="L28" s="351">
        <v>0</v>
      </c>
      <c r="M28" s="250" t="s">
        <v>387</v>
      </c>
      <c r="N28" s="235" t="s">
        <v>365</v>
      </c>
      <c r="O28" s="211">
        <v>44106</v>
      </c>
      <c r="P28" s="238"/>
      <c r="Q28" s="235">
        <v>1734</v>
      </c>
      <c r="R28" s="235">
        <v>100</v>
      </c>
      <c r="S28" s="352"/>
      <c r="T28" s="251" t="s">
        <v>496</v>
      </c>
      <c r="U28" s="251">
        <v>2</v>
      </c>
      <c r="V28" s="353"/>
      <c r="W28" s="242"/>
      <c r="X28" s="242"/>
      <c r="Y28" s="242"/>
      <c r="Z28" s="242"/>
      <c r="AA28" s="380"/>
      <c r="AB28" s="242"/>
    </row>
    <row r="29" spans="2:28" ht="48" x14ac:dyDescent="0.35">
      <c r="B29" s="154"/>
      <c r="C29" s="207" t="s">
        <v>485</v>
      </c>
      <c r="D29" s="250">
        <v>28365.539999999997</v>
      </c>
      <c r="E29" s="250">
        <v>10146.610000000002</v>
      </c>
      <c r="F29" s="250">
        <v>6628.4399999999987</v>
      </c>
      <c r="G29" s="250"/>
      <c r="H29" s="250">
        <v>2499.5699999999997</v>
      </c>
      <c r="I29" s="250">
        <v>2499.5699999999997</v>
      </c>
      <c r="J29" s="250">
        <v>45140.59</v>
      </c>
      <c r="K29" s="250">
        <v>11198.0736</v>
      </c>
      <c r="L29" s="351">
        <v>0</v>
      </c>
      <c r="M29" s="250" t="s">
        <v>387</v>
      </c>
      <c r="N29" s="235" t="s">
        <v>365</v>
      </c>
      <c r="O29" s="211">
        <v>43529</v>
      </c>
      <c r="P29" s="238"/>
      <c r="Q29" s="235">
        <v>1734</v>
      </c>
      <c r="R29" s="235">
        <v>100</v>
      </c>
      <c r="S29" s="352"/>
      <c r="T29" s="251" t="s">
        <v>486</v>
      </c>
      <c r="U29" s="251">
        <v>2</v>
      </c>
      <c r="V29" s="353"/>
      <c r="W29" s="242"/>
      <c r="X29" s="242"/>
      <c r="Y29" s="242"/>
      <c r="Z29" s="242"/>
      <c r="AA29" s="380"/>
      <c r="AB29" s="242"/>
    </row>
    <row r="30" spans="2:28" ht="48" x14ac:dyDescent="0.35">
      <c r="B30" s="154"/>
      <c r="C30" s="207" t="s">
        <v>485</v>
      </c>
      <c r="D30" s="250">
        <v>27675.48</v>
      </c>
      <c r="E30" s="250">
        <v>1261.29</v>
      </c>
      <c r="F30" s="250">
        <v>6628.4399999999987</v>
      </c>
      <c r="G30" s="250"/>
      <c r="H30" s="250">
        <v>2426.5800000000004</v>
      </c>
      <c r="I30" s="250">
        <v>2426.5800000000004</v>
      </c>
      <c r="J30" s="250">
        <v>35565.21</v>
      </c>
      <c r="K30" s="250">
        <v>10977.2544</v>
      </c>
      <c r="L30" s="351">
        <v>0</v>
      </c>
      <c r="M30" s="250" t="s">
        <v>387</v>
      </c>
      <c r="N30" s="235" t="s">
        <v>365</v>
      </c>
      <c r="O30" s="211">
        <v>44622</v>
      </c>
      <c r="P30" s="238"/>
      <c r="Q30" s="235">
        <v>1734</v>
      </c>
      <c r="R30" s="235">
        <v>100</v>
      </c>
      <c r="S30" s="352"/>
      <c r="T30" s="251" t="s">
        <v>496</v>
      </c>
      <c r="U30" s="251">
        <v>2</v>
      </c>
      <c r="V30" s="353"/>
      <c r="W30" s="242"/>
      <c r="X30" s="242"/>
      <c r="Y30" s="242"/>
      <c r="Z30" s="242"/>
      <c r="AA30" s="380"/>
      <c r="AB30" s="242"/>
    </row>
    <row r="31" spans="2:28" ht="48" x14ac:dyDescent="0.35">
      <c r="B31" s="154"/>
      <c r="C31" s="207" t="s">
        <v>485</v>
      </c>
      <c r="D31" s="250">
        <v>20324.64</v>
      </c>
      <c r="E31" s="250">
        <v>2458.4100000000003</v>
      </c>
      <c r="F31" s="250">
        <v>4971.4000000000015</v>
      </c>
      <c r="G31" s="250"/>
      <c r="H31" s="250">
        <v>1806.8600000000001</v>
      </c>
      <c r="I31" s="250">
        <v>1806.8600000000001</v>
      </c>
      <c r="J31" s="250">
        <v>27754.45</v>
      </c>
      <c r="K31" s="250">
        <v>8094.7328000000007</v>
      </c>
      <c r="L31" s="351">
        <v>0</v>
      </c>
      <c r="M31" s="250" t="s">
        <v>497</v>
      </c>
      <c r="N31" s="235" t="s">
        <v>365</v>
      </c>
      <c r="O31" s="211">
        <v>45179</v>
      </c>
      <c r="P31" s="238"/>
      <c r="Q31" s="235">
        <v>1734</v>
      </c>
      <c r="R31" s="235">
        <v>75</v>
      </c>
      <c r="S31" s="352"/>
      <c r="T31" s="251" t="s">
        <v>496</v>
      </c>
      <c r="U31" s="251">
        <v>2</v>
      </c>
      <c r="V31" s="353"/>
      <c r="W31" s="242"/>
      <c r="X31" s="242"/>
      <c r="Y31" s="242"/>
      <c r="Z31" s="242"/>
      <c r="AA31" s="380"/>
      <c r="AB31" s="242"/>
    </row>
    <row r="32" spans="2:28" ht="48" x14ac:dyDescent="0.35">
      <c r="B32" s="154"/>
      <c r="C32" s="207" t="s">
        <v>485</v>
      </c>
      <c r="D32" s="250">
        <v>31941</v>
      </c>
      <c r="E32" s="250">
        <v>6156.63</v>
      </c>
      <c r="F32" s="250">
        <v>32089.699999999997</v>
      </c>
      <c r="G32" s="250"/>
      <c r="H32" s="250">
        <v>4121.3499999999995</v>
      </c>
      <c r="I32" s="250">
        <v>4121.3499999999995</v>
      </c>
      <c r="J32" s="250">
        <v>70187.33</v>
      </c>
      <c r="K32" s="250">
        <v>18126.72</v>
      </c>
      <c r="L32" s="351">
        <v>5500</v>
      </c>
      <c r="M32" s="250" t="s">
        <v>387</v>
      </c>
      <c r="N32" s="235" t="s">
        <v>365</v>
      </c>
      <c r="O32" s="211">
        <v>44400</v>
      </c>
      <c r="P32" s="238"/>
      <c r="Q32" s="235">
        <v>1734</v>
      </c>
      <c r="R32" s="235">
        <v>100</v>
      </c>
      <c r="S32" s="352"/>
      <c r="T32" s="251" t="s">
        <v>493</v>
      </c>
      <c r="U32" s="251">
        <v>1</v>
      </c>
      <c r="V32" s="353"/>
      <c r="W32" s="242"/>
      <c r="X32" s="242"/>
      <c r="Y32" s="242"/>
      <c r="Z32" s="242"/>
      <c r="AA32" s="380"/>
      <c r="AB32" s="242"/>
    </row>
    <row r="33" spans="1:28" ht="48" x14ac:dyDescent="0.35">
      <c r="B33" s="154"/>
      <c r="C33" s="207" t="s">
        <v>485</v>
      </c>
      <c r="D33" s="250">
        <v>20197.939999999999</v>
      </c>
      <c r="E33" s="250">
        <v>1191.9300000000003</v>
      </c>
      <c r="F33" s="250">
        <v>0</v>
      </c>
      <c r="G33" s="250"/>
      <c r="H33" s="250">
        <v>1419.01</v>
      </c>
      <c r="I33" s="250">
        <v>1419.01</v>
      </c>
      <c r="J33" s="250">
        <v>21389.87</v>
      </c>
      <c r="K33" s="250">
        <v>6463.3407999999999</v>
      </c>
      <c r="L33" s="351">
        <v>0</v>
      </c>
      <c r="M33" s="250" t="s">
        <v>387</v>
      </c>
      <c r="N33" s="235" t="s">
        <v>365</v>
      </c>
      <c r="O33" s="211">
        <v>44704</v>
      </c>
      <c r="P33" s="238"/>
      <c r="Q33" s="235">
        <v>1734</v>
      </c>
      <c r="R33" s="235">
        <v>100</v>
      </c>
      <c r="S33" s="352"/>
      <c r="T33" s="251" t="s">
        <v>501</v>
      </c>
      <c r="U33" s="251">
        <v>9</v>
      </c>
      <c r="V33" s="353"/>
      <c r="W33" s="242"/>
      <c r="X33" s="242"/>
      <c r="Y33" s="242"/>
      <c r="Z33" s="242"/>
      <c r="AA33" s="380"/>
      <c r="AB33" s="242"/>
    </row>
    <row r="34" spans="1:28" ht="48" x14ac:dyDescent="0.35">
      <c r="B34" s="154"/>
      <c r="C34" s="207" t="s">
        <v>485</v>
      </c>
      <c r="D34" s="250">
        <v>17658.48</v>
      </c>
      <c r="E34" s="250">
        <v>1892.7499999999998</v>
      </c>
      <c r="F34" s="250">
        <v>0</v>
      </c>
      <c r="G34" s="250"/>
      <c r="H34" s="250">
        <v>1261.32</v>
      </c>
      <c r="I34" s="250">
        <v>1261.32</v>
      </c>
      <c r="J34" s="250">
        <v>19551.23</v>
      </c>
      <c r="K34" s="250">
        <v>5650.7136</v>
      </c>
      <c r="L34" s="351">
        <v>0</v>
      </c>
      <c r="M34" s="250" t="s">
        <v>387</v>
      </c>
      <c r="N34" s="235" t="s">
        <v>365</v>
      </c>
      <c r="O34" s="211">
        <v>44711</v>
      </c>
      <c r="P34" s="238"/>
      <c r="Q34" s="235">
        <v>1734</v>
      </c>
      <c r="R34" s="235">
        <v>100</v>
      </c>
      <c r="S34" s="352"/>
      <c r="T34" s="251" t="s">
        <v>504</v>
      </c>
      <c r="U34" s="251">
        <v>5</v>
      </c>
      <c r="V34" s="353"/>
      <c r="W34" s="242"/>
      <c r="X34" s="242"/>
      <c r="Y34" s="242"/>
      <c r="Z34" s="242"/>
      <c r="AA34" s="380"/>
      <c r="AB34" s="242"/>
    </row>
    <row r="35" spans="1:28" ht="48" x14ac:dyDescent="0.35">
      <c r="B35" s="154"/>
      <c r="C35" s="207" t="s">
        <v>485</v>
      </c>
      <c r="D35" s="250">
        <v>8129.8</v>
      </c>
      <c r="E35" s="250">
        <v>1094.93</v>
      </c>
      <c r="F35" s="250">
        <v>1988.5600000000004</v>
      </c>
      <c r="G35" s="250"/>
      <c r="H35" s="250">
        <v>722.74</v>
      </c>
      <c r="I35" s="250">
        <v>722.74</v>
      </c>
      <c r="J35" s="250">
        <v>11213.29</v>
      </c>
      <c r="K35" s="250">
        <v>3237.8752000000004</v>
      </c>
      <c r="L35" s="351">
        <v>0</v>
      </c>
      <c r="M35" s="250" t="s">
        <v>391</v>
      </c>
      <c r="N35" s="235" t="s">
        <v>365</v>
      </c>
      <c r="O35" s="211">
        <v>45265</v>
      </c>
      <c r="P35" s="238"/>
      <c r="Q35" s="235">
        <v>1734</v>
      </c>
      <c r="R35" s="235">
        <v>30</v>
      </c>
      <c r="S35" s="352"/>
      <c r="T35" s="251" t="s">
        <v>496</v>
      </c>
      <c r="U35" s="251">
        <v>2</v>
      </c>
      <c r="V35" s="353"/>
      <c r="W35" s="242"/>
      <c r="X35" s="242"/>
      <c r="Y35" s="242"/>
      <c r="Z35" s="242"/>
      <c r="AA35" s="380"/>
      <c r="AB35" s="242"/>
    </row>
    <row r="36" spans="1:28" ht="48" x14ac:dyDescent="0.35">
      <c r="B36" s="154"/>
      <c r="C36" s="207" t="s">
        <v>485</v>
      </c>
      <c r="D36" s="250">
        <v>27431.32</v>
      </c>
      <c r="E36" s="250">
        <v>259.5</v>
      </c>
      <c r="F36" s="250">
        <v>6628.4400000000023</v>
      </c>
      <c r="G36" s="250"/>
      <c r="H36" s="250">
        <v>2409.14</v>
      </c>
      <c r="I36" s="250">
        <v>2409.14</v>
      </c>
      <c r="J36" s="250">
        <v>34319.26</v>
      </c>
      <c r="K36" s="250">
        <v>10899.1232</v>
      </c>
      <c r="L36" s="351">
        <v>0</v>
      </c>
      <c r="M36" s="250" t="s">
        <v>390</v>
      </c>
      <c r="N36" s="235" t="s">
        <v>365</v>
      </c>
      <c r="O36" s="211">
        <v>45345</v>
      </c>
      <c r="P36" s="238"/>
      <c r="Q36" s="235">
        <v>1734</v>
      </c>
      <c r="R36" s="235">
        <v>100</v>
      </c>
      <c r="S36" s="352"/>
      <c r="T36" s="251" t="s">
        <v>496</v>
      </c>
      <c r="U36" s="251">
        <v>2</v>
      </c>
      <c r="V36" s="353"/>
      <c r="W36" s="242"/>
      <c r="X36" s="242"/>
      <c r="Y36" s="242"/>
      <c r="Z36" s="242"/>
      <c r="AA36" s="380"/>
      <c r="AB36" s="242"/>
    </row>
    <row r="37" spans="1:28" ht="48" x14ac:dyDescent="0.35">
      <c r="B37" s="154"/>
      <c r="C37" s="207" t="s">
        <v>485</v>
      </c>
      <c r="D37" s="250">
        <v>27431.32</v>
      </c>
      <c r="E37" s="250">
        <v>179.5</v>
      </c>
      <c r="F37" s="250">
        <v>6628.4400000000023</v>
      </c>
      <c r="G37" s="250"/>
      <c r="H37" s="250">
        <v>2409.14</v>
      </c>
      <c r="I37" s="250">
        <v>2409.14</v>
      </c>
      <c r="J37" s="250">
        <v>34239.26</v>
      </c>
      <c r="K37" s="250">
        <v>10899.1232</v>
      </c>
      <c r="L37" s="351">
        <v>0</v>
      </c>
      <c r="M37" s="250" t="s">
        <v>387</v>
      </c>
      <c r="N37" s="235" t="s">
        <v>365</v>
      </c>
      <c r="O37" s="211">
        <v>45388</v>
      </c>
      <c r="P37" s="238"/>
      <c r="Q37" s="235">
        <v>1734</v>
      </c>
      <c r="R37" s="235">
        <v>100</v>
      </c>
      <c r="S37" s="352"/>
      <c r="T37" s="251" t="s">
        <v>496</v>
      </c>
      <c r="U37" s="251">
        <v>2</v>
      </c>
      <c r="V37" s="353"/>
      <c r="W37" s="242"/>
      <c r="X37" s="242"/>
      <c r="Y37" s="242"/>
      <c r="Z37" s="242"/>
      <c r="AA37" s="380"/>
      <c r="AB37" s="242"/>
    </row>
    <row r="38" spans="1:28" s="208" customFormat="1" ht="48" x14ac:dyDescent="0.35">
      <c r="A38" s="354"/>
      <c r="B38" s="154"/>
      <c r="C38" s="207" t="s">
        <v>485</v>
      </c>
      <c r="D38" s="250"/>
      <c r="E38" s="250">
        <v>33727.96</v>
      </c>
      <c r="F38" s="250">
        <v>0</v>
      </c>
      <c r="G38" s="250">
        <v>0</v>
      </c>
      <c r="H38" s="250">
        <v>1935.68</v>
      </c>
      <c r="I38" s="250">
        <v>1935.68</v>
      </c>
      <c r="J38" s="250">
        <v>33727.96</v>
      </c>
      <c r="K38" s="250">
        <v>10792.947200000001</v>
      </c>
      <c r="L38" s="351"/>
      <c r="M38" s="250">
        <v>0</v>
      </c>
      <c r="N38" s="235" t="s">
        <v>365</v>
      </c>
      <c r="O38" s="211">
        <v>45600</v>
      </c>
      <c r="P38" s="238"/>
      <c r="Q38" s="235">
        <v>1734</v>
      </c>
      <c r="R38" s="235">
        <v>100</v>
      </c>
      <c r="S38" s="352"/>
      <c r="T38" s="251" t="s">
        <v>496</v>
      </c>
      <c r="U38" s="251">
        <v>2</v>
      </c>
      <c r="V38" s="353"/>
      <c r="W38" s="242"/>
      <c r="X38" s="242"/>
      <c r="Y38" s="242"/>
      <c r="Z38" s="242"/>
      <c r="AA38" s="380"/>
      <c r="AB38" s="242"/>
    </row>
    <row r="39" spans="1:28" s="208" customFormat="1" ht="48" x14ac:dyDescent="0.35">
      <c r="A39" s="354"/>
      <c r="B39" s="154"/>
      <c r="C39" s="207" t="s">
        <v>485</v>
      </c>
      <c r="D39" s="250"/>
      <c r="E39" s="250">
        <v>33727.96</v>
      </c>
      <c r="F39" s="250">
        <v>0</v>
      </c>
      <c r="G39" s="250">
        <v>0</v>
      </c>
      <c r="H39" s="250">
        <v>1935.68</v>
      </c>
      <c r="I39" s="250">
        <v>1935.68</v>
      </c>
      <c r="J39" s="250">
        <v>33727.96</v>
      </c>
      <c r="K39" s="250">
        <v>10792.947200000001</v>
      </c>
      <c r="L39" s="351"/>
      <c r="M39" s="250">
        <v>0</v>
      </c>
      <c r="N39" s="235" t="s">
        <v>365</v>
      </c>
      <c r="O39" s="211">
        <v>45616</v>
      </c>
      <c r="P39" s="238"/>
      <c r="Q39" s="235">
        <v>1734</v>
      </c>
      <c r="R39" s="235">
        <v>100</v>
      </c>
      <c r="S39" s="352"/>
      <c r="T39" s="251" t="s">
        <v>496</v>
      </c>
      <c r="U39" s="251">
        <v>2</v>
      </c>
      <c r="V39" s="353"/>
      <c r="W39" s="242"/>
      <c r="X39" s="242"/>
      <c r="Y39" s="242"/>
      <c r="Z39" s="242"/>
      <c r="AA39" s="380"/>
      <c r="AB39" s="242"/>
    </row>
    <row r="40" spans="1:28" s="126" customFormat="1" ht="165" customHeight="1" x14ac:dyDescent="0.35">
      <c r="B40" s="166" t="s">
        <v>535</v>
      </c>
      <c r="C40" s="207" t="s">
        <v>485</v>
      </c>
      <c r="D40" s="250">
        <f>(1/7)*22762.92</f>
        <v>3251.8457142857137</v>
      </c>
      <c r="E40" s="250">
        <f>(1/7)*3623.84</f>
        <v>517.69142857142856</v>
      </c>
      <c r="F40" s="250">
        <f>(1/7)*7661.52</f>
        <v>1094.5028571428572</v>
      </c>
      <c r="G40" s="250"/>
      <c r="H40" s="250">
        <f>(1/7)*2010.78</f>
        <v>287.25428571428569</v>
      </c>
      <c r="I40" s="250">
        <f>(1/7)*2010.78</f>
        <v>287.25428571428569</v>
      </c>
      <c r="J40" s="250">
        <f>(1/7)*34048.28</f>
        <v>4864.04</v>
      </c>
      <c r="K40" s="250">
        <f>(1/7)*9735.8208</f>
        <v>1390.8315428571427</v>
      </c>
      <c r="L40" s="237">
        <f>(1/7)*2700</f>
        <v>385.71428571428567</v>
      </c>
      <c r="M40" s="235" t="s">
        <v>387</v>
      </c>
      <c r="N40" s="235" t="s">
        <v>365</v>
      </c>
      <c r="O40" s="211">
        <v>38930</v>
      </c>
      <c r="P40" s="251"/>
      <c r="Q40" s="235">
        <v>1734</v>
      </c>
      <c r="R40" s="252">
        <f>(1/7)*100</f>
        <v>14.285714285714285</v>
      </c>
      <c r="S40" s="235"/>
      <c r="T40" s="251" t="s">
        <v>506</v>
      </c>
      <c r="U40" s="251">
        <v>8</v>
      </c>
      <c r="V40" s="207"/>
      <c r="W40" s="242"/>
      <c r="X40" s="242"/>
      <c r="Y40" s="242"/>
      <c r="Z40" s="242"/>
      <c r="AA40" s="380"/>
      <c r="AB40" s="242"/>
    </row>
    <row r="41" spans="1:28" s="126" customFormat="1" ht="207.75" customHeight="1" x14ac:dyDescent="0.35">
      <c r="B41" s="166" t="s">
        <v>536</v>
      </c>
      <c r="C41" s="207" t="s">
        <v>485</v>
      </c>
      <c r="D41" s="250">
        <v>2406.194</v>
      </c>
      <c r="E41" s="250">
        <v>170.423</v>
      </c>
      <c r="F41" s="250">
        <v>408.92600000000022</v>
      </c>
      <c r="G41" s="250"/>
      <c r="H41" s="250">
        <v>201.07999999999998</v>
      </c>
      <c r="I41" s="250">
        <v>201.07999999999998</v>
      </c>
      <c r="J41" s="250">
        <v>2985.5430000000001</v>
      </c>
      <c r="K41" s="250">
        <v>900.83839999999998</v>
      </c>
      <c r="L41" s="237">
        <v>0</v>
      </c>
      <c r="M41" s="235" t="s">
        <v>390</v>
      </c>
      <c r="N41" s="235" t="s">
        <v>365</v>
      </c>
      <c r="O41" s="211">
        <v>39167</v>
      </c>
      <c r="P41" s="251"/>
      <c r="Q41" s="235">
        <v>1734</v>
      </c>
      <c r="R41" s="252">
        <v>10</v>
      </c>
      <c r="S41" s="235"/>
      <c r="T41" s="251" t="s">
        <v>508</v>
      </c>
      <c r="U41" s="251">
        <v>8</v>
      </c>
      <c r="V41" s="207"/>
      <c r="W41" s="242"/>
      <c r="X41" s="242"/>
      <c r="Y41" s="242"/>
      <c r="Z41" s="242"/>
      <c r="AA41" s="380"/>
      <c r="AB41" s="242"/>
    </row>
    <row r="42" spans="1:28" s="126" customFormat="1" ht="207.75" customHeight="1" x14ac:dyDescent="0.35">
      <c r="B42" s="166" t="s">
        <v>536</v>
      </c>
      <c r="C42" s="207" t="s">
        <v>485</v>
      </c>
      <c r="D42" s="250">
        <v>2387.252</v>
      </c>
      <c r="E42" s="250">
        <v>143.655</v>
      </c>
      <c r="F42" s="250">
        <v>482.39799999999997</v>
      </c>
      <c r="G42" s="250"/>
      <c r="H42" s="250">
        <v>201.10499999999999</v>
      </c>
      <c r="I42" s="250">
        <v>201.10499999999999</v>
      </c>
      <c r="J42" s="250">
        <v>3013.3049999999998</v>
      </c>
      <c r="K42" s="250">
        <v>918.28800000000012</v>
      </c>
      <c r="L42" s="237">
        <v>0</v>
      </c>
      <c r="M42" s="235" t="s">
        <v>387</v>
      </c>
      <c r="N42" s="235" t="s">
        <v>365</v>
      </c>
      <c r="O42" s="211">
        <v>38845</v>
      </c>
      <c r="P42" s="251"/>
      <c r="Q42" s="235">
        <v>1734</v>
      </c>
      <c r="R42" s="252">
        <v>10</v>
      </c>
      <c r="S42" s="235"/>
      <c r="T42" s="251" t="s">
        <v>509</v>
      </c>
      <c r="U42" s="251">
        <v>8</v>
      </c>
      <c r="V42" s="207"/>
      <c r="W42" s="242"/>
      <c r="X42" s="242"/>
      <c r="Y42" s="242"/>
      <c r="Z42" s="242"/>
      <c r="AA42" s="380"/>
      <c r="AB42" s="242"/>
    </row>
    <row r="43" spans="1:28" s="126" customFormat="1" ht="207.75" customHeight="1" x14ac:dyDescent="0.35">
      <c r="B43" s="166" t="s">
        <v>536</v>
      </c>
      <c r="C43" s="207" t="s">
        <v>485</v>
      </c>
      <c r="D43" s="250">
        <v>3242.0080000000003</v>
      </c>
      <c r="E43" s="250">
        <v>1515.021</v>
      </c>
      <c r="F43" s="250">
        <v>5267.9680000000008</v>
      </c>
      <c r="G43" s="250"/>
      <c r="H43" s="250">
        <v>557.42200000000003</v>
      </c>
      <c r="I43" s="250">
        <v>557.42200000000003</v>
      </c>
      <c r="J43" s="250">
        <v>10024.996999999999</v>
      </c>
      <c r="K43" s="250">
        <v>1812.672</v>
      </c>
      <c r="L43" s="237">
        <v>1250</v>
      </c>
      <c r="M43" s="235" t="s">
        <v>387</v>
      </c>
      <c r="N43" s="235" t="s">
        <v>365</v>
      </c>
      <c r="O43" s="211">
        <v>33273</v>
      </c>
      <c r="P43" s="251"/>
      <c r="Q43" s="235">
        <v>1734</v>
      </c>
      <c r="R43" s="252">
        <v>10</v>
      </c>
      <c r="S43" s="235"/>
      <c r="T43" s="251" t="s">
        <v>510</v>
      </c>
      <c r="U43" s="251">
        <v>6</v>
      </c>
      <c r="V43" s="207"/>
      <c r="W43" s="242"/>
      <c r="X43" s="242"/>
      <c r="Y43" s="242"/>
      <c r="Z43" s="242"/>
      <c r="AA43" s="380"/>
      <c r="AB43" s="242"/>
    </row>
    <row r="44" spans="1:28" s="126" customFormat="1" ht="207.75" customHeight="1" x14ac:dyDescent="0.35">
      <c r="B44" s="166" t="s">
        <v>536</v>
      </c>
      <c r="C44" s="207" t="s">
        <v>485</v>
      </c>
      <c r="D44" s="250">
        <v>3097.57</v>
      </c>
      <c r="E44" s="250">
        <v>565.12999999999988</v>
      </c>
      <c r="F44" s="250">
        <v>3069.3339999999994</v>
      </c>
      <c r="G44" s="250"/>
      <c r="H44" s="250">
        <v>366.48399999999998</v>
      </c>
      <c r="I44" s="250">
        <v>366.48399999999998</v>
      </c>
      <c r="J44" s="250">
        <v>6732.0339999999997</v>
      </c>
      <c r="K44" s="250">
        <v>1812.672</v>
      </c>
      <c r="L44" s="237">
        <v>432</v>
      </c>
      <c r="M44" s="235" t="s">
        <v>387</v>
      </c>
      <c r="N44" s="235" t="s">
        <v>365</v>
      </c>
      <c r="O44" s="211">
        <v>31845</v>
      </c>
      <c r="P44" s="251"/>
      <c r="Q44" s="235">
        <v>1734</v>
      </c>
      <c r="R44" s="252">
        <v>10</v>
      </c>
      <c r="S44" s="235"/>
      <c r="T44" s="251" t="s">
        <v>511</v>
      </c>
      <c r="U44" s="251">
        <v>2</v>
      </c>
      <c r="V44" s="207"/>
      <c r="W44" s="242"/>
      <c r="X44" s="242"/>
      <c r="Y44" s="242"/>
      <c r="Z44" s="242"/>
      <c r="AA44" s="380"/>
      <c r="AB44" s="242"/>
    </row>
    <row r="45" spans="1:28" s="126" customFormat="1" ht="207.75" customHeight="1" x14ac:dyDescent="0.35">
      <c r="B45" s="166" t="s">
        <v>536</v>
      </c>
      <c r="C45" s="207" t="s">
        <v>485</v>
      </c>
      <c r="D45" s="250">
        <v>1713.2079999999999</v>
      </c>
      <c r="E45" s="250">
        <v>37.150999999999996</v>
      </c>
      <c r="F45" s="250">
        <v>4162.7039999999997</v>
      </c>
      <c r="G45" s="250"/>
      <c r="H45" s="250">
        <v>417.33800000000002</v>
      </c>
      <c r="I45" s="250">
        <v>417.33800000000002</v>
      </c>
      <c r="J45" s="250">
        <v>5913.0630000000001</v>
      </c>
      <c r="K45" s="250">
        <v>1812.672</v>
      </c>
      <c r="L45" s="237">
        <v>0</v>
      </c>
      <c r="M45" s="235" t="s">
        <v>391</v>
      </c>
      <c r="N45" s="235" t="s">
        <v>365</v>
      </c>
      <c r="O45" s="211">
        <v>35977</v>
      </c>
      <c r="P45" s="251"/>
      <c r="Q45" s="235">
        <v>1734</v>
      </c>
      <c r="R45" s="252">
        <v>5</v>
      </c>
      <c r="S45" s="235"/>
      <c r="T45" s="251" t="s">
        <v>512</v>
      </c>
      <c r="U45" s="251">
        <v>1</v>
      </c>
      <c r="V45" s="207"/>
      <c r="W45" s="242"/>
      <c r="X45" s="242"/>
      <c r="Y45" s="242"/>
      <c r="Z45" s="242"/>
      <c r="AA45" s="380"/>
      <c r="AB45" s="242"/>
    </row>
    <row r="46" spans="1:28" s="126" customFormat="1" ht="207.75" customHeight="1" x14ac:dyDescent="0.35">
      <c r="B46" s="166" t="s">
        <v>536</v>
      </c>
      <c r="C46" s="207" t="s">
        <v>485</v>
      </c>
      <c r="D46" s="250">
        <v>2606.982</v>
      </c>
      <c r="E46" s="250">
        <v>473.12299999999993</v>
      </c>
      <c r="F46" s="250">
        <v>2571.4499999999998</v>
      </c>
      <c r="G46" s="250"/>
      <c r="H46" s="250">
        <v>368.38800000000003</v>
      </c>
      <c r="I46" s="250">
        <v>368.38800000000003</v>
      </c>
      <c r="J46" s="250">
        <v>5651.5550000000003</v>
      </c>
      <c r="K46" s="250">
        <v>1657.09824</v>
      </c>
      <c r="L46" s="237">
        <v>240</v>
      </c>
      <c r="M46" s="235" t="s">
        <v>387</v>
      </c>
      <c r="N46" s="235" t="s">
        <v>365</v>
      </c>
      <c r="O46" s="211">
        <v>33493</v>
      </c>
      <c r="P46" s="251"/>
      <c r="Q46" s="235">
        <v>1734</v>
      </c>
      <c r="R46" s="252">
        <v>10</v>
      </c>
      <c r="S46" s="235"/>
      <c r="T46" s="251" t="s">
        <v>513</v>
      </c>
      <c r="U46" s="251">
        <v>8</v>
      </c>
      <c r="V46" s="207"/>
      <c r="W46" s="242"/>
      <c r="X46" s="242"/>
      <c r="Y46" s="242"/>
      <c r="Z46" s="242"/>
      <c r="AA46" s="380"/>
      <c r="AB46" s="242"/>
    </row>
    <row r="47" spans="1:28" s="126" customFormat="1" ht="207.75" customHeight="1" x14ac:dyDescent="0.35">
      <c r="B47" s="166" t="s">
        <v>536</v>
      </c>
      <c r="C47" s="207" t="s">
        <v>485</v>
      </c>
      <c r="D47" s="250">
        <v>2118.288</v>
      </c>
      <c r="E47" s="250">
        <v>215.75200000000001</v>
      </c>
      <c r="F47" s="250">
        <v>0</v>
      </c>
      <c r="G47" s="250"/>
      <c r="H47" s="250">
        <v>150.29400000000001</v>
      </c>
      <c r="I47" s="250">
        <v>150.29400000000001</v>
      </c>
      <c r="J47" s="250">
        <v>2334.04</v>
      </c>
      <c r="K47" s="250">
        <v>677.85216000000003</v>
      </c>
      <c r="L47" s="237">
        <v>0</v>
      </c>
      <c r="M47" s="235" t="s">
        <v>390</v>
      </c>
      <c r="N47" s="235" t="s">
        <v>365</v>
      </c>
      <c r="O47" s="211">
        <v>42401</v>
      </c>
      <c r="P47" s="251"/>
      <c r="Q47" s="235">
        <v>1734</v>
      </c>
      <c r="R47" s="252">
        <v>10</v>
      </c>
      <c r="S47" s="235"/>
      <c r="T47" s="251" t="s">
        <v>514</v>
      </c>
      <c r="U47" s="251">
        <v>4</v>
      </c>
      <c r="V47" s="207"/>
      <c r="W47" s="242"/>
      <c r="X47" s="242"/>
      <c r="Y47" s="242"/>
      <c r="Z47" s="242"/>
      <c r="AA47" s="380"/>
      <c r="AB47" s="242"/>
    </row>
    <row r="48" spans="1:28" s="126" customFormat="1" ht="207.75" customHeight="1" x14ac:dyDescent="0.35">
      <c r="B48" s="166" t="s">
        <v>536</v>
      </c>
      <c r="C48" s="207" t="s">
        <v>485</v>
      </c>
      <c r="D48" s="250">
        <v>3013.0940000000001</v>
      </c>
      <c r="E48" s="250">
        <v>117.37100000000001</v>
      </c>
      <c r="F48" s="250">
        <v>1091.7759999999994</v>
      </c>
      <c r="G48" s="250"/>
      <c r="H48" s="250">
        <v>289.33499999999998</v>
      </c>
      <c r="I48" s="250">
        <v>289.33499999999998</v>
      </c>
      <c r="J48" s="250">
        <v>4222.241</v>
      </c>
      <c r="K48" s="250">
        <v>1313.5583999999999</v>
      </c>
      <c r="L48" s="237">
        <v>0</v>
      </c>
      <c r="M48" s="235" t="s">
        <v>387</v>
      </c>
      <c r="N48" s="235" t="s">
        <v>365</v>
      </c>
      <c r="O48" s="211">
        <v>42509</v>
      </c>
      <c r="P48" s="251"/>
      <c r="Q48" s="235">
        <v>1734</v>
      </c>
      <c r="R48" s="252">
        <v>10</v>
      </c>
      <c r="S48" s="235"/>
      <c r="T48" s="251" t="s">
        <v>515</v>
      </c>
      <c r="U48" s="251">
        <v>7</v>
      </c>
      <c r="V48" s="207"/>
      <c r="W48" s="242"/>
      <c r="X48" s="242"/>
      <c r="Y48" s="242"/>
      <c r="Z48" s="242"/>
      <c r="AA48" s="380"/>
      <c r="AB48" s="242"/>
    </row>
    <row r="49" spans="2:29" s="126" customFormat="1" ht="207.75" customHeight="1" x14ac:dyDescent="0.35">
      <c r="B49" s="166" t="s">
        <v>536</v>
      </c>
      <c r="C49" s="207" t="s">
        <v>485</v>
      </c>
      <c r="D49" s="250">
        <v>3247</v>
      </c>
      <c r="E49" s="250">
        <v>204.42800000000003</v>
      </c>
      <c r="F49" s="250">
        <v>993.11800000000005</v>
      </c>
      <c r="G49" s="250"/>
      <c r="H49" s="250">
        <v>300.84100000000001</v>
      </c>
      <c r="I49" s="250">
        <v>300.84100000000001</v>
      </c>
      <c r="J49" s="250">
        <v>4444.5460000000003</v>
      </c>
      <c r="K49" s="250">
        <v>1356.8377599999999</v>
      </c>
      <c r="L49" s="237">
        <v>0</v>
      </c>
      <c r="M49" s="235" t="s">
        <v>387</v>
      </c>
      <c r="N49" s="235" t="s">
        <v>365</v>
      </c>
      <c r="O49" s="211">
        <v>42522</v>
      </c>
      <c r="P49" s="251"/>
      <c r="Q49" s="235">
        <v>1734</v>
      </c>
      <c r="R49" s="252">
        <v>10</v>
      </c>
      <c r="S49" s="235"/>
      <c r="T49" s="251" t="s">
        <v>516</v>
      </c>
      <c r="U49" s="251">
        <v>1</v>
      </c>
      <c r="V49" s="207"/>
      <c r="W49" s="242"/>
      <c r="X49" s="242"/>
      <c r="Y49" s="242"/>
      <c r="Z49" s="242"/>
      <c r="AA49" s="380"/>
      <c r="AB49" s="242"/>
    </row>
    <row r="50" spans="2:29" s="126" customFormat="1" ht="207.75" customHeight="1" x14ac:dyDescent="0.35">
      <c r="B50" s="166" t="s">
        <v>536</v>
      </c>
      <c r="C50" s="207" t="s">
        <v>485</v>
      </c>
      <c r="D50" s="250">
        <v>2230.2219999999998</v>
      </c>
      <c r="E50" s="250">
        <v>225.20100000000002</v>
      </c>
      <c r="F50" s="250">
        <v>429.92600000000022</v>
      </c>
      <c r="G50" s="250"/>
      <c r="H50" s="250">
        <v>186.48600000000002</v>
      </c>
      <c r="I50" s="250">
        <v>186.48600000000002</v>
      </c>
      <c r="J50" s="250">
        <v>2885.3489999999997</v>
      </c>
      <c r="K50" s="250">
        <v>851.24735999999996</v>
      </c>
      <c r="L50" s="237">
        <v>0</v>
      </c>
      <c r="M50" s="235" t="s">
        <v>387</v>
      </c>
      <c r="N50" s="235" t="s">
        <v>365</v>
      </c>
      <c r="O50" s="211">
        <v>44503</v>
      </c>
      <c r="P50" s="251"/>
      <c r="Q50" s="235">
        <v>1734</v>
      </c>
      <c r="R50" s="252">
        <v>10</v>
      </c>
      <c r="S50" s="235"/>
      <c r="T50" s="251" t="s">
        <v>509</v>
      </c>
      <c r="U50" s="251">
        <v>8</v>
      </c>
      <c r="V50" s="207"/>
      <c r="W50" s="242"/>
      <c r="X50" s="242"/>
      <c r="Y50" s="242"/>
      <c r="Z50" s="242"/>
      <c r="AA50" s="380"/>
      <c r="AB50" s="242"/>
    </row>
    <row r="51" spans="2:29" x14ac:dyDescent="0.35">
      <c r="B51" s="135"/>
      <c r="Y51" s="126"/>
      <c r="Z51" s="126"/>
      <c r="AA51" s="126"/>
      <c r="AB51" s="126"/>
      <c r="AC51" s="126"/>
    </row>
    <row r="52" spans="2:29" x14ac:dyDescent="0.35">
      <c r="B52" s="135"/>
      <c r="Y52" s="126"/>
      <c r="Z52" s="126"/>
      <c r="AA52" s="126"/>
      <c r="AB52" s="126"/>
      <c r="AC52" s="126"/>
    </row>
    <row r="53" spans="2:29" ht="19" thickBot="1" x14ac:dyDescent="0.5">
      <c r="B53" s="18" t="s">
        <v>17</v>
      </c>
      <c r="C53" s="1"/>
      <c r="E53"/>
    </row>
    <row r="54" spans="2:29" ht="33.75" customHeight="1" x14ac:dyDescent="0.35">
      <c r="B54" s="19" t="s">
        <v>344</v>
      </c>
      <c r="C54" s="19" t="s">
        <v>2</v>
      </c>
      <c r="D54" s="19" t="s">
        <v>21</v>
      </c>
      <c r="E54" s="19" t="s">
        <v>1</v>
      </c>
      <c r="F54" s="19" t="s">
        <v>22</v>
      </c>
      <c r="G54" s="19" t="s">
        <v>14</v>
      </c>
      <c r="H54" s="19" t="s">
        <v>18</v>
      </c>
      <c r="I54" s="19" t="s">
        <v>15</v>
      </c>
      <c r="J54" s="19" t="s">
        <v>10</v>
      </c>
      <c r="K54" s="19" t="s">
        <v>23</v>
      </c>
      <c r="L54" s="19" t="s">
        <v>16</v>
      </c>
      <c r="M54" s="19" t="s">
        <v>3</v>
      </c>
      <c r="N54" s="19" t="s">
        <v>11</v>
      </c>
      <c r="O54" s="19" t="s">
        <v>4</v>
      </c>
      <c r="P54" s="19" t="s">
        <v>5</v>
      </c>
      <c r="Q54" s="19" t="s">
        <v>24</v>
      </c>
      <c r="R54" s="19" t="s">
        <v>25</v>
      </c>
      <c r="S54" s="19" t="s">
        <v>26</v>
      </c>
      <c r="T54" s="19" t="s">
        <v>27</v>
      </c>
      <c r="U54" s="19" t="s">
        <v>6</v>
      </c>
      <c r="V54" s="19" t="s">
        <v>7</v>
      </c>
      <c r="W54" s="19" t="s">
        <v>28</v>
      </c>
      <c r="X54" s="19" t="s">
        <v>29</v>
      </c>
      <c r="Y54" s="19" t="s">
        <v>30</v>
      </c>
      <c r="Z54" s="19" t="s">
        <v>31</v>
      </c>
      <c r="AA54" s="57" t="s">
        <v>8</v>
      </c>
      <c r="AB54" s="57" t="s">
        <v>9</v>
      </c>
    </row>
    <row r="55" spans="2:29" x14ac:dyDescent="0.35">
      <c r="B55" s="4"/>
      <c r="C55" s="194"/>
      <c r="D55" s="5"/>
      <c r="E55" s="5"/>
      <c r="F55" s="5"/>
      <c r="G55" s="5"/>
      <c r="H55" s="5"/>
      <c r="I55" s="5"/>
      <c r="J55" s="5"/>
      <c r="K55" s="5"/>
      <c r="L55" s="4"/>
      <c r="M55" s="4"/>
      <c r="N55" s="4"/>
      <c r="O55" s="6"/>
      <c r="P55" s="7"/>
      <c r="Q55" s="8"/>
      <c r="R55" s="8"/>
      <c r="S55" s="8"/>
      <c r="T55" s="9"/>
      <c r="U55" s="9"/>
      <c r="V55" s="10"/>
      <c r="W55" s="36"/>
      <c r="X55" s="36" t="s">
        <v>0</v>
      </c>
      <c r="Y55" s="36"/>
      <c r="Z55" s="36"/>
      <c r="AA55" s="36"/>
      <c r="AB55" s="36"/>
    </row>
    <row r="56" spans="2:29" x14ac:dyDescent="0.35">
      <c r="B56" s="4"/>
      <c r="C56" s="195"/>
      <c r="D56" s="5"/>
      <c r="E56" s="5"/>
      <c r="F56" s="5"/>
      <c r="G56" s="5"/>
      <c r="H56" s="5"/>
      <c r="I56" s="5"/>
      <c r="J56" s="5"/>
      <c r="K56" s="5"/>
      <c r="L56" s="4"/>
      <c r="M56" s="4"/>
      <c r="N56" s="4"/>
      <c r="O56" s="6"/>
      <c r="P56" s="7"/>
      <c r="Q56" s="8"/>
      <c r="R56" s="8"/>
      <c r="S56" s="8"/>
      <c r="T56" s="9"/>
      <c r="U56" s="9"/>
      <c r="V56" s="10"/>
      <c r="W56" s="36"/>
      <c r="X56" s="36"/>
      <c r="Y56" s="36"/>
      <c r="Z56" s="36"/>
      <c r="AA56" s="36"/>
      <c r="AB56" s="36"/>
    </row>
    <row r="57" spans="2:29" x14ac:dyDescent="0.35">
      <c r="B57" s="4"/>
      <c r="C57" s="195"/>
      <c r="D57" s="5"/>
      <c r="E57" s="5"/>
      <c r="F57" s="5"/>
      <c r="G57" s="5"/>
      <c r="H57" s="5"/>
      <c r="I57" s="5"/>
      <c r="J57" s="5"/>
      <c r="K57" s="5"/>
      <c r="L57" s="4"/>
      <c r="M57" s="4"/>
      <c r="N57" s="4"/>
      <c r="O57" s="6"/>
      <c r="P57" s="7"/>
      <c r="Q57" s="8"/>
      <c r="R57" s="8"/>
      <c r="S57" s="8"/>
      <c r="T57" s="9"/>
      <c r="U57" s="9"/>
      <c r="V57" s="10"/>
      <c r="W57" s="36"/>
      <c r="X57" s="36"/>
      <c r="Y57" s="36"/>
      <c r="Z57" s="36"/>
      <c r="AA57" s="36"/>
      <c r="AB57" s="36"/>
    </row>
    <row r="58" spans="2:29" x14ac:dyDescent="0.35">
      <c r="B58" s="11"/>
      <c r="C58" s="195"/>
      <c r="D58" s="12"/>
      <c r="E58" s="12"/>
      <c r="F58" s="12"/>
      <c r="G58" s="12"/>
      <c r="H58" s="12"/>
      <c r="I58" s="12"/>
      <c r="J58" s="12"/>
      <c r="K58" s="12"/>
      <c r="L58" s="11"/>
      <c r="M58" s="11"/>
      <c r="N58" s="11"/>
      <c r="O58" s="37"/>
      <c r="P58" s="13"/>
      <c r="Q58" s="14"/>
      <c r="R58" s="14"/>
      <c r="S58" s="14"/>
      <c r="T58" s="38"/>
      <c r="U58" s="38"/>
      <c r="V58" s="15"/>
      <c r="W58" s="39"/>
      <c r="X58" s="39"/>
      <c r="Y58" s="39"/>
      <c r="Z58" s="39"/>
      <c r="AA58" s="39"/>
      <c r="AB58" s="39"/>
    </row>
    <row r="59" spans="2:29" x14ac:dyDescent="0.35">
      <c r="B59" s="11"/>
      <c r="C59" s="195"/>
      <c r="D59" s="12"/>
      <c r="E59" s="12"/>
      <c r="F59" s="12"/>
      <c r="G59" s="12"/>
      <c r="H59" s="12"/>
      <c r="I59" s="12"/>
      <c r="J59" s="12"/>
      <c r="K59" s="12"/>
      <c r="L59" s="11"/>
      <c r="M59" s="11"/>
      <c r="N59" s="11"/>
      <c r="O59" s="37"/>
      <c r="P59" s="13"/>
      <c r="Q59" s="14"/>
      <c r="R59" s="14"/>
      <c r="S59" s="14"/>
      <c r="T59" s="38"/>
      <c r="U59" s="38"/>
      <c r="V59" s="16"/>
      <c r="W59" s="39"/>
      <c r="X59" s="39"/>
      <c r="Y59" s="39"/>
      <c r="Z59" s="39"/>
      <c r="AA59" s="39"/>
      <c r="AB59" s="39"/>
    </row>
    <row r="60" spans="2:29" x14ac:dyDescent="0.35">
      <c r="B60" s="11"/>
      <c r="C60" s="195"/>
      <c r="D60" s="12"/>
      <c r="E60" s="12"/>
      <c r="F60" s="12"/>
      <c r="G60" s="12"/>
      <c r="H60" s="12"/>
      <c r="I60" s="12"/>
      <c r="J60" s="12"/>
      <c r="K60" s="12"/>
      <c r="L60" s="11"/>
      <c r="M60" s="11"/>
      <c r="N60" s="11"/>
      <c r="O60" s="37"/>
      <c r="P60" s="13"/>
      <c r="Q60" s="14"/>
      <c r="R60" s="14"/>
      <c r="S60" s="14"/>
      <c r="T60" s="38"/>
      <c r="U60" s="38"/>
      <c r="V60" s="16"/>
      <c r="W60" s="39"/>
      <c r="X60" s="39"/>
      <c r="Y60" s="39"/>
      <c r="Z60" s="39"/>
      <c r="AA60" s="39"/>
      <c r="AB60" s="39"/>
    </row>
    <row r="61" spans="2:29" x14ac:dyDescent="0.35">
      <c r="B61" s="127"/>
      <c r="C61" s="127"/>
      <c r="D61" s="128"/>
      <c r="E61" s="196"/>
      <c r="F61" s="129"/>
      <c r="G61" s="129"/>
      <c r="H61" s="129"/>
      <c r="I61" s="129"/>
      <c r="J61" s="129"/>
      <c r="K61" s="129"/>
      <c r="L61" s="129"/>
      <c r="M61" s="127"/>
      <c r="N61" s="127"/>
      <c r="O61" s="127"/>
      <c r="P61" s="130"/>
      <c r="Q61" s="131"/>
      <c r="R61" s="132"/>
      <c r="S61" s="132"/>
      <c r="T61" s="132"/>
      <c r="U61" s="133"/>
      <c r="V61" s="133"/>
      <c r="W61" s="134"/>
      <c r="X61" s="126"/>
      <c r="Y61" s="126"/>
      <c r="Z61" s="126"/>
      <c r="AA61" s="126"/>
      <c r="AB61" s="126"/>
      <c r="AC61" s="126"/>
    </row>
    <row r="62" spans="2:29" x14ac:dyDescent="0.35">
      <c r="B62" s="127"/>
      <c r="C62" s="127"/>
      <c r="D62" s="128"/>
      <c r="E62" s="196"/>
      <c r="F62" s="129"/>
      <c r="G62" s="129"/>
      <c r="H62" s="129"/>
      <c r="I62" s="129"/>
      <c r="J62" s="129"/>
      <c r="K62" s="129"/>
      <c r="L62" s="129"/>
      <c r="M62" s="127"/>
      <c r="N62" s="127"/>
      <c r="O62" s="127"/>
      <c r="P62" s="130"/>
      <c r="Q62" s="131"/>
      <c r="R62" s="132"/>
      <c r="S62" s="132"/>
      <c r="T62" s="132"/>
      <c r="U62" s="133"/>
      <c r="V62" s="133"/>
      <c r="W62" s="134"/>
      <c r="X62" s="126"/>
      <c r="Y62" s="126"/>
      <c r="Z62" s="126"/>
      <c r="AA62" s="126"/>
      <c r="AB62" s="126"/>
      <c r="AC62" s="126"/>
    </row>
    <row r="63" spans="2:29" x14ac:dyDescent="0.35">
      <c r="B63" s="135"/>
      <c r="C63" s="135"/>
      <c r="F63" s="135"/>
      <c r="G63" s="135"/>
      <c r="H63" s="135"/>
      <c r="I63" s="135"/>
      <c r="J63" s="135"/>
      <c r="K63" s="135"/>
      <c r="L63" s="135"/>
      <c r="M63" s="135"/>
      <c r="N63" s="135"/>
      <c r="O63" s="135"/>
      <c r="P63" s="135"/>
      <c r="Q63" s="135"/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72"/>
  <sheetViews>
    <sheetView zoomScaleNormal="100" workbookViewId="0">
      <pane xSplit="2" ySplit="9" topLeftCell="N10" activePane="bottomRight" state="frozen"/>
      <selection activeCell="L5" sqref="L5"/>
      <selection pane="topRight" activeCell="L5" sqref="L5"/>
      <selection pane="bottomLeft" activeCell="L5" sqref="L5"/>
      <selection pane="bottomRight" activeCell="B2" sqref="B2:AB69"/>
    </sheetView>
  </sheetViews>
  <sheetFormatPr defaultColWidth="11.453125" defaultRowHeight="14.5" x14ac:dyDescent="0.35"/>
  <cols>
    <col min="1" max="1" width="5.54296875" customWidth="1"/>
    <col min="2" max="2" width="36.26953125" customWidth="1"/>
    <col min="3" max="3" width="13.54296875" customWidth="1"/>
    <col min="4" max="4" width="15.7265625" customWidth="1"/>
    <col min="5" max="5" width="25.54296875" style="149" customWidth="1"/>
    <col min="6" max="30" width="12.81640625" customWidth="1"/>
  </cols>
  <sheetData>
    <row r="2" spans="2:28" ht="18.5" x14ac:dyDescent="0.45">
      <c r="B2" s="18" t="s">
        <v>13</v>
      </c>
      <c r="C2" s="1"/>
    </row>
    <row r="3" spans="2:28" x14ac:dyDescent="0.35">
      <c r="B3" s="23"/>
      <c r="C3" s="23"/>
      <c r="F3" s="23"/>
      <c r="G3" s="208"/>
      <c r="Q3" s="23"/>
      <c r="R3" s="23"/>
      <c r="S3" s="23"/>
    </row>
    <row r="4" spans="2:28" ht="15.5" x14ac:dyDescent="0.35">
      <c r="B4" s="62" t="s">
        <v>12</v>
      </c>
      <c r="C4" s="144" t="s">
        <v>481</v>
      </c>
      <c r="D4" s="145"/>
      <c r="E4" s="146"/>
      <c r="G4" s="208"/>
      <c r="Q4" s="23"/>
      <c r="R4" s="23"/>
      <c r="S4" s="23"/>
    </row>
    <row r="5" spans="2:28" ht="15.5" x14ac:dyDescent="0.35">
      <c r="B5" s="62" t="s">
        <v>20</v>
      </c>
      <c r="C5" s="144" t="s">
        <v>537</v>
      </c>
      <c r="D5" s="145"/>
      <c r="E5" s="147"/>
      <c r="G5" s="208"/>
      <c r="Q5" s="23"/>
      <c r="R5" s="23"/>
      <c r="S5" s="23"/>
    </row>
    <row r="6" spans="2:28" ht="15.5" x14ac:dyDescent="0.35">
      <c r="B6" s="64" t="s">
        <v>19</v>
      </c>
      <c r="C6" s="144" t="s">
        <v>538</v>
      </c>
      <c r="D6" s="145"/>
      <c r="E6" s="147"/>
      <c r="Q6" s="23"/>
      <c r="R6" s="23"/>
      <c r="S6" s="23"/>
    </row>
    <row r="7" spans="2:28" ht="15.5" x14ac:dyDescent="0.35">
      <c r="B7" s="62" t="s">
        <v>32</v>
      </c>
      <c r="C7" s="148" t="s">
        <v>484</v>
      </c>
      <c r="D7" s="103"/>
    </row>
    <row r="8" spans="2:28" ht="16" thickBot="1" x14ac:dyDescent="0.4">
      <c r="B8" s="70"/>
      <c r="C8" s="103"/>
      <c r="D8" s="103"/>
    </row>
    <row r="9" spans="2:28" ht="52.5" x14ac:dyDescent="0.35">
      <c r="B9" s="19" t="s">
        <v>344</v>
      </c>
      <c r="C9" s="19" t="s">
        <v>2</v>
      </c>
      <c r="D9" s="19" t="s">
        <v>21</v>
      </c>
      <c r="E9" s="19" t="s">
        <v>1</v>
      </c>
      <c r="F9" s="19" t="s">
        <v>22</v>
      </c>
      <c r="G9" s="19" t="s">
        <v>14</v>
      </c>
      <c r="H9" s="19" t="s">
        <v>18</v>
      </c>
      <c r="I9" s="19" t="s">
        <v>15</v>
      </c>
      <c r="J9" s="19" t="s">
        <v>10</v>
      </c>
      <c r="K9" s="19" t="s">
        <v>23</v>
      </c>
      <c r="L9" s="19" t="s">
        <v>16</v>
      </c>
      <c r="M9" s="19" t="s">
        <v>3</v>
      </c>
      <c r="N9" s="19" t="s">
        <v>11</v>
      </c>
      <c r="O9" s="19" t="s">
        <v>4</v>
      </c>
      <c r="P9" s="19" t="s">
        <v>5</v>
      </c>
      <c r="Q9" s="19" t="s">
        <v>24</v>
      </c>
      <c r="R9" s="19" t="s">
        <v>25</v>
      </c>
      <c r="S9" s="19" t="s">
        <v>26</v>
      </c>
      <c r="T9" s="19" t="s">
        <v>27</v>
      </c>
      <c r="U9" s="19" t="s">
        <v>6</v>
      </c>
      <c r="V9" s="19" t="s">
        <v>7</v>
      </c>
      <c r="W9" s="19" t="s">
        <v>28</v>
      </c>
      <c r="X9" s="19" t="s">
        <v>29</v>
      </c>
      <c r="Y9" s="19" t="s">
        <v>30</v>
      </c>
      <c r="Z9" s="19" t="s">
        <v>31</v>
      </c>
      <c r="AA9" s="57" t="s">
        <v>8</v>
      </c>
      <c r="AB9" s="57" t="s">
        <v>9</v>
      </c>
    </row>
    <row r="10" spans="2:28" ht="48" x14ac:dyDescent="0.35">
      <c r="B10" s="4"/>
      <c r="C10" s="203" t="s">
        <v>485</v>
      </c>
      <c r="D10" s="365">
        <v>22982.32</v>
      </c>
      <c r="E10" s="365">
        <v>5453.27</v>
      </c>
      <c r="F10" s="365">
        <v>5021.0999999999985</v>
      </c>
      <c r="G10" s="365"/>
      <c r="H10" s="365">
        <v>1963.97</v>
      </c>
      <c r="I10" s="365">
        <v>1963.97</v>
      </c>
      <c r="J10" s="365">
        <v>33456.69</v>
      </c>
      <c r="K10" s="365">
        <v>8961.0944</v>
      </c>
      <c r="L10" s="363">
        <v>0</v>
      </c>
      <c r="M10" s="275" t="s">
        <v>391</v>
      </c>
      <c r="N10" s="275" t="s">
        <v>365</v>
      </c>
      <c r="O10" s="366">
        <v>38145</v>
      </c>
      <c r="P10" s="74"/>
      <c r="Q10" s="275">
        <v>1734</v>
      </c>
      <c r="R10" s="275">
        <v>75.75</v>
      </c>
      <c r="S10" s="164"/>
      <c r="T10" s="74" t="s">
        <v>486</v>
      </c>
      <c r="U10" s="74">
        <v>2</v>
      </c>
      <c r="V10" s="293"/>
      <c r="W10" s="261" t="s">
        <v>489</v>
      </c>
      <c r="X10" s="281"/>
      <c r="Y10" s="281"/>
      <c r="Z10" s="281"/>
      <c r="AA10" s="281"/>
      <c r="AB10" s="275" t="s">
        <v>539</v>
      </c>
    </row>
    <row r="11" spans="2:28" ht="48" x14ac:dyDescent="0.35">
      <c r="B11" s="11"/>
      <c r="C11" s="203" t="s">
        <v>485</v>
      </c>
      <c r="D11" s="340">
        <v>30740.639999999999</v>
      </c>
      <c r="E11" s="340">
        <v>1876.6200000000001</v>
      </c>
      <c r="F11" s="340">
        <v>6628.4400000000023</v>
      </c>
      <c r="G11" s="340"/>
      <c r="H11" s="340">
        <v>2645.52</v>
      </c>
      <c r="I11" s="340">
        <v>2645.52</v>
      </c>
      <c r="J11" s="340">
        <v>39245.700000000004</v>
      </c>
      <c r="K11" s="340">
        <v>11958.105600000001</v>
      </c>
      <c r="L11" s="364">
        <v>0</v>
      </c>
      <c r="M11" s="80" t="s">
        <v>387</v>
      </c>
      <c r="N11" s="80" t="s">
        <v>365</v>
      </c>
      <c r="O11" s="164">
        <v>32856</v>
      </c>
      <c r="P11" s="258"/>
      <c r="Q11" s="80">
        <v>1734</v>
      </c>
      <c r="R11" s="80">
        <v>100</v>
      </c>
      <c r="S11" s="164"/>
      <c r="T11" s="258" t="s">
        <v>488</v>
      </c>
      <c r="U11" s="258">
        <v>2</v>
      </c>
      <c r="V11" s="203"/>
      <c r="W11" s="261"/>
      <c r="X11" s="261"/>
      <c r="Y11" s="261"/>
      <c r="Z11" s="261"/>
      <c r="AA11" s="261"/>
      <c r="AB11" s="80"/>
    </row>
    <row r="12" spans="2:28" ht="48" x14ac:dyDescent="0.35">
      <c r="B12" s="11"/>
      <c r="C12" s="203" t="s">
        <v>485</v>
      </c>
      <c r="D12" s="340">
        <v>30254.32</v>
      </c>
      <c r="E12" s="340">
        <v>4983.08</v>
      </c>
      <c r="F12" s="340">
        <v>6628.4399999999951</v>
      </c>
      <c r="G12" s="340"/>
      <c r="H12" s="340">
        <v>2624.36</v>
      </c>
      <c r="I12" s="340">
        <v>2624.36</v>
      </c>
      <c r="J12" s="340">
        <v>41865.839999999997</v>
      </c>
      <c r="K12" s="340">
        <v>11802.483199999999</v>
      </c>
      <c r="L12" s="364">
        <v>0</v>
      </c>
      <c r="M12" s="80" t="s">
        <v>387</v>
      </c>
      <c r="N12" s="80" t="s">
        <v>365</v>
      </c>
      <c r="O12" s="164">
        <v>35947</v>
      </c>
      <c r="P12" s="258"/>
      <c r="Q12" s="80">
        <v>1734</v>
      </c>
      <c r="R12" s="80">
        <v>100</v>
      </c>
      <c r="S12" s="164"/>
      <c r="T12" s="258" t="s">
        <v>488</v>
      </c>
      <c r="U12" s="258">
        <v>2</v>
      </c>
      <c r="V12" s="203"/>
      <c r="W12" s="261"/>
      <c r="X12" s="261"/>
      <c r="Y12" s="261"/>
      <c r="Z12" s="261"/>
      <c r="AA12" s="261"/>
      <c r="AB12" s="80"/>
    </row>
    <row r="13" spans="2:28" ht="48" x14ac:dyDescent="0.35">
      <c r="B13" s="11"/>
      <c r="C13" s="203" t="s">
        <v>485</v>
      </c>
      <c r="D13" s="340">
        <v>22674.720000000001</v>
      </c>
      <c r="E13" s="340">
        <v>2808.19</v>
      </c>
      <c r="F13" s="340">
        <v>386.81999999999971</v>
      </c>
      <c r="G13" s="340"/>
      <c r="H13" s="340">
        <v>1637.1299999999999</v>
      </c>
      <c r="I13" s="340">
        <v>1637.1299999999999</v>
      </c>
      <c r="J13" s="340">
        <v>25869.73</v>
      </c>
      <c r="K13" s="340">
        <v>7379.6928000000007</v>
      </c>
      <c r="L13" s="364">
        <v>0</v>
      </c>
      <c r="M13" s="80" t="s">
        <v>387</v>
      </c>
      <c r="N13" s="80" t="s">
        <v>365</v>
      </c>
      <c r="O13" s="164">
        <v>39087</v>
      </c>
      <c r="P13" s="258"/>
      <c r="Q13" s="80">
        <v>1734</v>
      </c>
      <c r="R13" s="80">
        <v>100</v>
      </c>
      <c r="S13" s="164"/>
      <c r="T13" s="258" t="s">
        <v>487</v>
      </c>
      <c r="U13" s="258">
        <v>4</v>
      </c>
      <c r="V13" s="203"/>
      <c r="W13" s="261"/>
      <c r="X13" s="261"/>
      <c r="Y13" s="261"/>
      <c r="Z13" s="261"/>
      <c r="AA13" s="261"/>
      <c r="AB13" s="80"/>
    </row>
    <row r="14" spans="2:28" ht="48" x14ac:dyDescent="0.35">
      <c r="B14" s="11"/>
      <c r="C14" s="203" t="s">
        <v>485</v>
      </c>
      <c r="D14" s="340">
        <v>23309.300000000003</v>
      </c>
      <c r="E14" s="340">
        <v>2542.5299999999997</v>
      </c>
      <c r="F14" s="340">
        <v>386.81999999999971</v>
      </c>
      <c r="G14" s="340"/>
      <c r="H14" s="340">
        <v>1668.8799999999999</v>
      </c>
      <c r="I14" s="340">
        <v>1668.8799999999999</v>
      </c>
      <c r="J14" s="340">
        <v>26238.65</v>
      </c>
      <c r="K14" s="340">
        <v>7582.7584000000006</v>
      </c>
      <c r="L14" s="364">
        <v>0</v>
      </c>
      <c r="M14" s="80" t="s">
        <v>387</v>
      </c>
      <c r="N14" s="80" t="s">
        <v>365</v>
      </c>
      <c r="O14" s="164">
        <v>36990</v>
      </c>
      <c r="P14" s="258"/>
      <c r="Q14" s="80">
        <v>1734</v>
      </c>
      <c r="R14" s="80">
        <v>100</v>
      </c>
      <c r="S14" s="164"/>
      <c r="T14" s="258" t="s">
        <v>487</v>
      </c>
      <c r="U14" s="258">
        <v>4</v>
      </c>
      <c r="V14" s="203"/>
      <c r="W14" s="261"/>
      <c r="X14" s="261"/>
      <c r="Y14" s="261"/>
      <c r="Z14" s="261"/>
      <c r="AA14" s="261"/>
      <c r="AB14" s="80"/>
    </row>
    <row r="15" spans="2:28" ht="48" x14ac:dyDescent="0.35">
      <c r="B15" s="11"/>
      <c r="C15" s="203" t="s">
        <v>485</v>
      </c>
      <c r="D15" s="340">
        <v>30740.639999999999</v>
      </c>
      <c r="E15" s="340">
        <v>5323.58</v>
      </c>
      <c r="F15" s="340">
        <v>6628.4400000000023</v>
      </c>
      <c r="G15" s="340"/>
      <c r="H15" s="340">
        <v>2645.52</v>
      </c>
      <c r="I15" s="340">
        <v>2645.52</v>
      </c>
      <c r="J15" s="340">
        <v>42692.66</v>
      </c>
      <c r="K15" s="340">
        <v>11958.105600000001</v>
      </c>
      <c r="L15" s="364">
        <v>0</v>
      </c>
      <c r="M15" s="80" t="s">
        <v>387</v>
      </c>
      <c r="N15" s="80" t="s">
        <v>365</v>
      </c>
      <c r="O15" s="164">
        <v>32883</v>
      </c>
      <c r="P15" s="258"/>
      <c r="Q15" s="80">
        <v>1734</v>
      </c>
      <c r="R15" s="80">
        <v>100</v>
      </c>
      <c r="S15" s="164"/>
      <c r="T15" s="258" t="s">
        <v>488</v>
      </c>
      <c r="U15" s="258">
        <v>2</v>
      </c>
      <c r="V15" s="203"/>
      <c r="W15" s="261"/>
      <c r="X15" s="261"/>
      <c r="Y15" s="261"/>
      <c r="Z15" s="261"/>
      <c r="AA15" s="261"/>
      <c r="AB15" s="80"/>
    </row>
    <row r="16" spans="2:28" ht="48" x14ac:dyDescent="0.35">
      <c r="B16" s="11"/>
      <c r="C16" s="203" t="s">
        <v>485</v>
      </c>
      <c r="D16" s="340">
        <v>25044.54</v>
      </c>
      <c r="E16" s="340">
        <v>3490.4300000000003</v>
      </c>
      <c r="F16" s="340">
        <v>5587.82</v>
      </c>
      <c r="G16" s="340"/>
      <c r="H16" s="340">
        <v>2167.7799999999997</v>
      </c>
      <c r="I16" s="340">
        <v>2167.7799999999997</v>
      </c>
      <c r="J16" s="340">
        <v>34122.79</v>
      </c>
      <c r="K16" s="340">
        <v>9802.3552</v>
      </c>
      <c r="L16" s="367">
        <v>0</v>
      </c>
      <c r="M16" s="340" t="s">
        <v>387</v>
      </c>
      <c r="N16" s="80" t="s">
        <v>365</v>
      </c>
      <c r="O16" s="164">
        <v>39354</v>
      </c>
      <c r="P16" s="258"/>
      <c r="Q16" s="80">
        <v>1734</v>
      </c>
      <c r="R16" s="80">
        <v>84.3</v>
      </c>
      <c r="S16" s="164">
        <v>47928</v>
      </c>
      <c r="T16" s="258" t="s">
        <v>486</v>
      </c>
      <c r="U16" s="258">
        <v>2</v>
      </c>
      <c r="V16" s="368"/>
      <c r="W16" s="261"/>
      <c r="X16" s="261"/>
      <c r="Y16" s="261"/>
      <c r="Z16" s="261"/>
      <c r="AA16" s="261"/>
      <c r="AB16" s="80"/>
    </row>
    <row r="17" spans="2:28" ht="48" x14ac:dyDescent="0.35">
      <c r="B17" s="11"/>
      <c r="C17" s="203" t="s">
        <v>485</v>
      </c>
      <c r="D17" s="340">
        <v>29817.199999999997</v>
      </c>
      <c r="E17" s="340">
        <v>5155.6999999999989</v>
      </c>
      <c r="F17" s="340">
        <v>6628.4400000000023</v>
      </c>
      <c r="G17" s="340"/>
      <c r="H17" s="340">
        <v>2603.2599999999998</v>
      </c>
      <c r="I17" s="340">
        <v>2603.2599999999998</v>
      </c>
      <c r="J17" s="340">
        <v>41601.339999999997</v>
      </c>
      <c r="K17" s="340">
        <v>11662.604799999999</v>
      </c>
      <c r="L17" s="367">
        <v>0</v>
      </c>
      <c r="M17" s="340" t="s">
        <v>387</v>
      </c>
      <c r="N17" s="80" t="s">
        <v>365</v>
      </c>
      <c r="O17" s="164">
        <v>37369</v>
      </c>
      <c r="P17" s="378"/>
      <c r="Q17" s="80">
        <v>1734</v>
      </c>
      <c r="R17" s="80">
        <v>100</v>
      </c>
      <c r="S17" s="164"/>
      <c r="T17" s="258" t="s">
        <v>486</v>
      </c>
      <c r="U17" s="258">
        <v>2</v>
      </c>
      <c r="V17" s="368"/>
      <c r="W17" s="261"/>
      <c r="X17" s="261"/>
      <c r="Y17" s="261"/>
      <c r="Z17" s="261"/>
      <c r="AA17" s="261"/>
      <c r="AB17" s="80"/>
    </row>
    <row r="18" spans="2:28" ht="48" x14ac:dyDescent="0.35">
      <c r="B18" s="11"/>
      <c r="C18" s="203" t="s">
        <v>485</v>
      </c>
      <c r="D18" s="340">
        <v>33155.78</v>
      </c>
      <c r="E18" s="340">
        <v>14156.599999999999</v>
      </c>
      <c r="F18" s="340">
        <v>34089.619999999995</v>
      </c>
      <c r="G18" s="340"/>
      <c r="H18" s="340">
        <v>4231.82</v>
      </c>
      <c r="I18" s="340">
        <v>4231.82</v>
      </c>
      <c r="J18" s="340">
        <v>81402</v>
      </c>
      <c r="K18" s="340">
        <v>18126.72</v>
      </c>
      <c r="L18" s="367">
        <v>5500</v>
      </c>
      <c r="M18" s="340" t="s">
        <v>387</v>
      </c>
      <c r="N18" s="80" t="s">
        <v>365</v>
      </c>
      <c r="O18" s="164">
        <v>38180</v>
      </c>
      <c r="P18" s="378"/>
      <c r="Q18" s="80">
        <v>1734</v>
      </c>
      <c r="R18" s="80">
        <v>100</v>
      </c>
      <c r="S18" s="164"/>
      <c r="T18" s="258" t="s">
        <v>493</v>
      </c>
      <c r="U18" s="258">
        <v>1</v>
      </c>
      <c r="V18" s="368"/>
      <c r="W18" s="261"/>
      <c r="X18" s="261"/>
      <c r="Y18" s="261"/>
      <c r="Z18" s="261"/>
      <c r="AA18" s="261"/>
      <c r="AB18" s="80"/>
    </row>
    <row r="19" spans="2:28" ht="48" x14ac:dyDescent="0.35">
      <c r="B19" s="11"/>
      <c r="C19" s="203" t="s">
        <v>485</v>
      </c>
      <c r="D19" s="340">
        <v>26180.079999999998</v>
      </c>
      <c r="E19" s="340">
        <v>4496.46</v>
      </c>
      <c r="F19" s="340">
        <v>5799.9200000000019</v>
      </c>
      <c r="G19" s="340"/>
      <c r="H19" s="340">
        <v>2264.04</v>
      </c>
      <c r="I19" s="340">
        <v>2264.04</v>
      </c>
      <c r="J19" s="340">
        <v>36476.46</v>
      </c>
      <c r="K19" s="340">
        <v>10233.6</v>
      </c>
      <c r="L19" s="367">
        <v>0</v>
      </c>
      <c r="M19" s="340" t="s">
        <v>387</v>
      </c>
      <c r="N19" s="80" t="s">
        <v>365</v>
      </c>
      <c r="O19" s="164">
        <v>38425</v>
      </c>
      <c r="P19" s="258"/>
      <c r="Q19" s="80">
        <v>1734</v>
      </c>
      <c r="R19" s="80">
        <v>87.5</v>
      </c>
      <c r="S19" s="164">
        <v>45551</v>
      </c>
      <c r="T19" s="258" t="s">
        <v>486</v>
      </c>
      <c r="U19" s="258">
        <v>2</v>
      </c>
      <c r="V19" s="368"/>
      <c r="W19" s="261"/>
      <c r="X19" s="261"/>
      <c r="Y19" s="261"/>
      <c r="Z19" s="261"/>
      <c r="AA19" s="261"/>
      <c r="AB19" s="80"/>
    </row>
    <row r="20" spans="2:28" ht="48" x14ac:dyDescent="0.35">
      <c r="B20" s="11"/>
      <c r="C20" s="203" t="s">
        <v>485</v>
      </c>
      <c r="D20" s="340">
        <v>29743.559999999998</v>
      </c>
      <c r="E20" s="340">
        <v>9541.6299999999974</v>
      </c>
      <c r="F20" s="340">
        <v>6628.4400000000023</v>
      </c>
      <c r="G20" s="340"/>
      <c r="H20" s="340">
        <v>2598</v>
      </c>
      <c r="I20" s="340">
        <v>2598</v>
      </c>
      <c r="J20" s="340">
        <v>45913.63</v>
      </c>
      <c r="K20" s="340">
        <v>11639.04</v>
      </c>
      <c r="L20" s="367">
        <v>0</v>
      </c>
      <c r="M20" s="340" t="s">
        <v>387</v>
      </c>
      <c r="N20" s="80" t="s">
        <v>365</v>
      </c>
      <c r="O20" s="164">
        <v>37805</v>
      </c>
      <c r="P20" s="378"/>
      <c r="Q20" s="80">
        <v>1734</v>
      </c>
      <c r="R20" s="80">
        <v>100</v>
      </c>
      <c r="S20" s="164"/>
      <c r="T20" s="258" t="s">
        <v>486</v>
      </c>
      <c r="U20" s="258">
        <v>2</v>
      </c>
      <c r="V20" s="368"/>
      <c r="W20" s="261"/>
      <c r="X20" s="261"/>
      <c r="Y20" s="261"/>
      <c r="Z20" s="261"/>
      <c r="AA20" s="261"/>
      <c r="AB20" s="80"/>
    </row>
    <row r="21" spans="2:28" ht="48" x14ac:dyDescent="0.35">
      <c r="B21" s="11"/>
      <c r="C21" s="203" t="s">
        <v>485</v>
      </c>
      <c r="D21" s="340">
        <v>25253.42</v>
      </c>
      <c r="E21" s="340">
        <v>1453.4</v>
      </c>
      <c r="F21" s="340">
        <v>5545.9599999999991</v>
      </c>
      <c r="G21" s="340"/>
      <c r="H21" s="340">
        <v>2156.0099999999998</v>
      </c>
      <c r="I21" s="340">
        <v>2156.0099999999998</v>
      </c>
      <c r="J21" s="340">
        <v>32252.78</v>
      </c>
      <c r="K21" s="340">
        <v>9855.8015999999989</v>
      </c>
      <c r="L21" s="367">
        <v>0</v>
      </c>
      <c r="M21" s="340" t="s">
        <v>387</v>
      </c>
      <c r="N21" s="80" t="s">
        <v>365</v>
      </c>
      <c r="O21" s="164">
        <v>38992</v>
      </c>
      <c r="P21" s="258"/>
      <c r="Q21" s="80">
        <v>1734</v>
      </c>
      <c r="R21" s="80">
        <v>83.67</v>
      </c>
      <c r="S21" s="164">
        <v>45709</v>
      </c>
      <c r="T21" s="258" t="s">
        <v>486</v>
      </c>
      <c r="U21" s="258">
        <v>2</v>
      </c>
      <c r="V21" s="368"/>
      <c r="W21" s="261"/>
      <c r="X21" s="261"/>
      <c r="Y21" s="261"/>
      <c r="Z21" s="261"/>
      <c r="AA21" s="261"/>
      <c r="AB21" s="80"/>
    </row>
    <row r="22" spans="2:28" ht="48" x14ac:dyDescent="0.35">
      <c r="B22" s="11"/>
      <c r="C22" s="203" t="s">
        <v>485</v>
      </c>
      <c r="D22" s="340">
        <v>18201.760000000002</v>
      </c>
      <c r="E22" s="340">
        <v>0</v>
      </c>
      <c r="F22" s="340">
        <v>305.61999999999898</v>
      </c>
      <c r="G22" s="340"/>
      <c r="H22" s="340">
        <v>1301.7100000000003</v>
      </c>
      <c r="I22" s="340">
        <v>1301.7100000000003</v>
      </c>
      <c r="J22" s="340">
        <v>18507.38</v>
      </c>
      <c r="K22" s="340">
        <v>5922.3616000000002</v>
      </c>
      <c r="L22" s="367">
        <v>0</v>
      </c>
      <c r="M22" s="340" t="s">
        <v>387</v>
      </c>
      <c r="N22" s="80" t="s">
        <v>365</v>
      </c>
      <c r="O22" s="164">
        <v>38152</v>
      </c>
      <c r="P22" s="258"/>
      <c r="Q22" s="80">
        <v>1734</v>
      </c>
      <c r="R22" s="80">
        <v>79</v>
      </c>
      <c r="S22" s="164">
        <v>45532</v>
      </c>
      <c r="T22" s="258" t="s">
        <v>487</v>
      </c>
      <c r="U22" s="258">
        <v>4</v>
      </c>
      <c r="V22" s="368"/>
      <c r="W22" s="261"/>
      <c r="X22" s="261"/>
      <c r="Y22" s="261"/>
      <c r="Z22" s="261"/>
      <c r="AA22" s="261"/>
      <c r="AB22" s="80"/>
    </row>
    <row r="23" spans="2:28" ht="48" x14ac:dyDescent="0.35">
      <c r="B23" s="11"/>
      <c r="C23" s="203" t="s">
        <v>485</v>
      </c>
      <c r="D23" s="340">
        <v>30248.62</v>
      </c>
      <c r="E23" s="340">
        <v>4649.1000000000004</v>
      </c>
      <c r="F23" s="340">
        <v>12628.439999999999</v>
      </c>
      <c r="G23" s="340"/>
      <c r="H23" s="340">
        <v>2613.8299999999995</v>
      </c>
      <c r="I23" s="340">
        <v>2613.8299999999995</v>
      </c>
      <c r="J23" s="340">
        <v>47526.159999999996</v>
      </c>
      <c r="K23" s="340">
        <v>13720.6592</v>
      </c>
      <c r="L23" s="367">
        <v>4500</v>
      </c>
      <c r="M23" s="340" t="s">
        <v>387</v>
      </c>
      <c r="N23" s="80" t="s">
        <v>365</v>
      </c>
      <c r="O23" s="164">
        <v>36652</v>
      </c>
      <c r="P23" s="378"/>
      <c r="Q23" s="80">
        <v>1734</v>
      </c>
      <c r="R23" s="80">
        <v>100</v>
      </c>
      <c r="S23" s="164"/>
      <c r="T23" s="258" t="s">
        <v>486</v>
      </c>
      <c r="U23" s="258">
        <v>2</v>
      </c>
      <c r="V23" s="368"/>
      <c r="W23" s="261"/>
      <c r="X23" s="261"/>
      <c r="Y23" s="261"/>
      <c r="Z23" s="261"/>
      <c r="AA23" s="261"/>
      <c r="AB23" s="80"/>
    </row>
    <row r="24" spans="2:28" ht="48" x14ac:dyDescent="0.35">
      <c r="B24" s="11"/>
      <c r="C24" s="203" t="s">
        <v>485</v>
      </c>
      <c r="D24" s="340">
        <v>16041.1</v>
      </c>
      <c r="E24" s="340">
        <v>2120.3399999999997</v>
      </c>
      <c r="F24" s="340">
        <v>3513.0200000000023</v>
      </c>
      <c r="G24" s="340"/>
      <c r="H24" s="340">
        <v>1362.8999999999999</v>
      </c>
      <c r="I24" s="340">
        <v>1362.8999999999999</v>
      </c>
      <c r="J24" s="340">
        <v>21674.460000000003</v>
      </c>
      <c r="K24" s="340">
        <v>6257.318400000001</v>
      </c>
      <c r="L24" s="367">
        <v>0</v>
      </c>
      <c r="M24" s="340" t="s">
        <v>387</v>
      </c>
      <c r="N24" s="80" t="s">
        <v>365</v>
      </c>
      <c r="O24" s="164">
        <v>39503</v>
      </c>
      <c r="P24" s="378"/>
      <c r="Q24" s="80">
        <v>1734</v>
      </c>
      <c r="R24" s="80">
        <v>53</v>
      </c>
      <c r="S24" s="164">
        <v>47486</v>
      </c>
      <c r="T24" s="258" t="s">
        <v>486</v>
      </c>
      <c r="U24" s="258">
        <v>2</v>
      </c>
      <c r="V24" s="368"/>
      <c r="W24" s="261"/>
      <c r="X24" s="261"/>
      <c r="Y24" s="261"/>
      <c r="Z24" s="261"/>
      <c r="AA24" s="261"/>
      <c r="AB24" s="80"/>
    </row>
    <row r="25" spans="2:28" ht="48" x14ac:dyDescent="0.35">
      <c r="B25" s="11"/>
      <c r="C25" s="203" t="s">
        <v>485</v>
      </c>
      <c r="D25" s="340">
        <v>30364.92</v>
      </c>
      <c r="E25" s="340">
        <v>3428.21</v>
      </c>
      <c r="F25" s="340">
        <v>6628.4400000000023</v>
      </c>
      <c r="G25" s="340"/>
      <c r="H25" s="340">
        <v>2608.56</v>
      </c>
      <c r="I25" s="340">
        <v>2608.56</v>
      </c>
      <c r="J25" s="340">
        <v>40421.57</v>
      </c>
      <c r="K25" s="340">
        <v>11837.8752</v>
      </c>
      <c r="L25" s="367">
        <v>0</v>
      </c>
      <c r="M25" s="340" t="s">
        <v>387</v>
      </c>
      <c r="N25" s="80" t="s">
        <v>365</v>
      </c>
      <c r="O25" s="164">
        <v>37074</v>
      </c>
      <c r="P25" s="258"/>
      <c r="Q25" s="80">
        <v>1734</v>
      </c>
      <c r="R25" s="80">
        <v>100</v>
      </c>
      <c r="S25" s="164"/>
      <c r="T25" s="258" t="s">
        <v>486</v>
      </c>
      <c r="U25" s="258">
        <v>2</v>
      </c>
      <c r="V25" s="368"/>
      <c r="W25" s="261"/>
      <c r="X25" s="261"/>
      <c r="Y25" s="261"/>
      <c r="Z25" s="261"/>
      <c r="AA25" s="261"/>
      <c r="AB25" s="80"/>
    </row>
    <row r="26" spans="2:28" ht="48" x14ac:dyDescent="0.35">
      <c r="B26" s="11"/>
      <c r="C26" s="203" t="s">
        <v>485</v>
      </c>
      <c r="D26" s="340">
        <v>29631</v>
      </c>
      <c r="E26" s="340">
        <v>3817.03</v>
      </c>
      <c r="F26" s="340">
        <v>6628.4400000000023</v>
      </c>
      <c r="G26" s="340"/>
      <c r="H26" s="340">
        <v>2566.2599999999998</v>
      </c>
      <c r="I26" s="340">
        <v>2566.2599999999998</v>
      </c>
      <c r="J26" s="340">
        <v>40076.47</v>
      </c>
      <c r="K26" s="340">
        <v>11603.0208</v>
      </c>
      <c r="L26" s="367">
        <v>0</v>
      </c>
      <c r="M26" s="340" t="s">
        <v>390</v>
      </c>
      <c r="N26" s="80" t="s">
        <v>365</v>
      </c>
      <c r="O26" s="164">
        <v>39904</v>
      </c>
      <c r="P26" s="258"/>
      <c r="Q26" s="80">
        <v>1734</v>
      </c>
      <c r="R26" s="80">
        <v>100</v>
      </c>
      <c r="S26" s="164"/>
      <c r="T26" s="258" t="s">
        <v>486</v>
      </c>
      <c r="U26" s="258">
        <v>2</v>
      </c>
      <c r="V26" s="368"/>
      <c r="W26" s="261"/>
      <c r="X26" s="261"/>
      <c r="Y26" s="261"/>
      <c r="Z26" s="261"/>
      <c r="AA26" s="261"/>
      <c r="AB26" s="80"/>
    </row>
    <row r="27" spans="2:28" ht="48" x14ac:dyDescent="0.35">
      <c r="B27" s="11"/>
      <c r="C27" s="203" t="s">
        <v>485</v>
      </c>
      <c r="D27" s="340">
        <v>30470.52</v>
      </c>
      <c r="E27" s="340">
        <v>9205.2899999999991</v>
      </c>
      <c r="F27" s="340">
        <v>6628.4399999999987</v>
      </c>
      <c r="G27" s="340"/>
      <c r="H27" s="340">
        <v>2629.68</v>
      </c>
      <c r="I27" s="340">
        <v>2629.68</v>
      </c>
      <c r="J27" s="340">
        <v>46304.25</v>
      </c>
      <c r="K27" s="340">
        <v>11871.6672</v>
      </c>
      <c r="L27" s="367">
        <v>0</v>
      </c>
      <c r="M27" s="340" t="s">
        <v>387</v>
      </c>
      <c r="N27" s="80" t="s">
        <v>365</v>
      </c>
      <c r="O27" s="164">
        <v>35431</v>
      </c>
      <c r="P27" s="258"/>
      <c r="Q27" s="80">
        <v>1734</v>
      </c>
      <c r="R27" s="80">
        <v>100</v>
      </c>
      <c r="S27" s="164"/>
      <c r="T27" s="258" t="s">
        <v>488</v>
      </c>
      <c r="U27" s="258">
        <v>2</v>
      </c>
      <c r="V27" s="368"/>
      <c r="W27" s="261"/>
      <c r="X27" s="261"/>
      <c r="Y27" s="261"/>
      <c r="Z27" s="261"/>
      <c r="AA27" s="261"/>
      <c r="AB27" s="80"/>
    </row>
    <row r="28" spans="2:28" ht="48" x14ac:dyDescent="0.35">
      <c r="B28" s="11"/>
      <c r="C28" s="203" t="s">
        <v>485</v>
      </c>
      <c r="D28" s="340">
        <v>20959.12</v>
      </c>
      <c r="E28" s="340">
        <v>1520.2600000000002</v>
      </c>
      <c r="F28" s="340">
        <v>381.92000000000189</v>
      </c>
      <c r="G28" s="340"/>
      <c r="H28" s="340">
        <v>1524.3600000000001</v>
      </c>
      <c r="I28" s="340">
        <v>1524.3600000000001</v>
      </c>
      <c r="J28" s="340">
        <v>22861.300000000003</v>
      </c>
      <c r="K28" s="340">
        <v>6829.1328000000003</v>
      </c>
      <c r="L28" s="367">
        <v>0</v>
      </c>
      <c r="M28" s="340" t="s">
        <v>387</v>
      </c>
      <c r="N28" s="80" t="s">
        <v>365</v>
      </c>
      <c r="O28" s="164">
        <v>43377</v>
      </c>
      <c r="P28" s="258"/>
      <c r="Q28" s="80">
        <v>1734</v>
      </c>
      <c r="R28" s="80">
        <v>100</v>
      </c>
      <c r="S28" s="164"/>
      <c r="T28" s="258" t="s">
        <v>495</v>
      </c>
      <c r="U28" s="258">
        <v>4</v>
      </c>
      <c r="V28" s="368"/>
      <c r="W28" s="261"/>
      <c r="X28" s="261"/>
      <c r="Y28" s="261"/>
      <c r="Z28" s="261"/>
      <c r="AA28" s="261"/>
      <c r="AB28" s="80"/>
    </row>
    <row r="29" spans="2:28" ht="48" x14ac:dyDescent="0.35">
      <c r="B29" s="11"/>
      <c r="C29" s="203" t="s">
        <v>485</v>
      </c>
      <c r="D29" s="340">
        <v>22237.46</v>
      </c>
      <c r="E29" s="340">
        <v>2235.7600000000002</v>
      </c>
      <c r="F29" s="340">
        <v>386.82000000000335</v>
      </c>
      <c r="G29" s="340"/>
      <c r="H29" s="340">
        <v>1616.0200000000002</v>
      </c>
      <c r="I29" s="340">
        <v>1616.0200000000002</v>
      </c>
      <c r="J29" s="340">
        <v>24860.04</v>
      </c>
      <c r="K29" s="340">
        <v>7239.7696000000005</v>
      </c>
      <c r="L29" s="367">
        <v>0</v>
      </c>
      <c r="M29" s="340" t="s">
        <v>387</v>
      </c>
      <c r="N29" s="80" t="s">
        <v>365</v>
      </c>
      <c r="O29" s="164">
        <v>40695</v>
      </c>
      <c r="P29" s="258"/>
      <c r="Q29" s="80">
        <v>1734</v>
      </c>
      <c r="R29" s="80">
        <v>100</v>
      </c>
      <c r="S29" s="164"/>
      <c r="T29" s="258" t="s">
        <v>487</v>
      </c>
      <c r="U29" s="258">
        <v>4</v>
      </c>
      <c r="V29" s="368"/>
      <c r="W29" s="261"/>
      <c r="X29" s="261"/>
      <c r="Y29" s="261"/>
      <c r="Z29" s="261"/>
      <c r="AA29" s="261"/>
      <c r="AB29" s="80"/>
    </row>
    <row r="30" spans="2:28" ht="48" x14ac:dyDescent="0.35">
      <c r="B30" s="11"/>
      <c r="C30" s="203" t="s">
        <v>485</v>
      </c>
      <c r="D30" s="340">
        <v>22569.260000000002</v>
      </c>
      <c r="E30" s="340">
        <v>1408.4300000000003</v>
      </c>
      <c r="F30" s="340">
        <v>386.81999999999971</v>
      </c>
      <c r="G30" s="340"/>
      <c r="H30" s="340">
        <v>1616.0200000000002</v>
      </c>
      <c r="I30" s="340">
        <v>1616.0200000000002</v>
      </c>
      <c r="J30" s="340">
        <v>24364.510000000002</v>
      </c>
      <c r="K30" s="340">
        <v>7345.9456000000009</v>
      </c>
      <c r="L30" s="367">
        <v>0</v>
      </c>
      <c r="M30" s="340" t="s">
        <v>387</v>
      </c>
      <c r="N30" s="80" t="s">
        <v>365</v>
      </c>
      <c r="O30" s="164">
        <v>40695</v>
      </c>
      <c r="P30" s="258"/>
      <c r="Q30" s="80">
        <v>1734</v>
      </c>
      <c r="R30" s="80">
        <v>100</v>
      </c>
      <c r="S30" s="164"/>
      <c r="T30" s="258" t="s">
        <v>487</v>
      </c>
      <c r="U30" s="258">
        <v>4</v>
      </c>
      <c r="V30" s="368"/>
      <c r="W30" s="261"/>
      <c r="X30" s="261"/>
      <c r="Y30" s="261"/>
      <c r="Z30" s="261"/>
      <c r="AA30" s="261"/>
      <c r="AB30" s="80"/>
    </row>
    <row r="31" spans="2:28" ht="48" x14ac:dyDescent="0.35">
      <c r="B31" s="11"/>
      <c r="C31" s="203" t="s">
        <v>485</v>
      </c>
      <c r="D31" s="340">
        <v>12999.64</v>
      </c>
      <c r="E31" s="340">
        <v>868.9899999999999</v>
      </c>
      <c r="F31" s="340">
        <v>222.88000000000102</v>
      </c>
      <c r="G31" s="340"/>
      <c r="H31" s="340">
        <v>924.22</v>
      </c>
      <c r="I31" s="340">
        <v>924.22</v>
      </c>
      <c r="J31" s="340">
        <v>14091.51</v>
      </c>
      <c r="K31" s="340">
        <v>4231.2064</v>
      </c>
      <c r="L31" s="367">
        <v>0</v>
      </c>
      <c r="M31" s="340" t="s">
        <v>391</v>
      </c>
      <c r="N31" s="80" t="s">
        <v>365</v>
      </c>
      <c r="O31" s="164">
        <v>41306</v>
      </c>
      <c r="P31" s="258"/>
      <c r="Q31" s="80">
        <v>1734</v>
      </c>
      <c r="R31" s="80">
        <v>57.61</v>
      </c>
      <c r="S31" s="164">
        <v>48195</v>
      </c>
      <c r="T31" s="258" t="s">
        <v>487</v>
      </c>
      <c r="U31" s="258">
        <v>4</v>
      </c>
      <c r="V31" s="368"/>
      <c r="W31" s="261" t="s">
        <v>489</v>
      </c>
      <c r="X31" s="261"/>
      <c r="Y31" s="261"/>
      <c r="Z31" s="261"/>
      <c r="AA31" s="261"/>
      <c r="AB31" s="275" t="s">
        <v>540</v>
      </c>
    </row>
    <row r="32" spans="2:28" ht="48" x14ac:dyDescent="0.35">
      <c r="B32" s="11"/>
      <c r="C32" s="203" t="s">
        <v>485</v>
      </c>
      <c r="D32" s="340">
        <v>22158.22</v>
      </c>
      <c r="E32" s="340">
        <v>1826.76</v>
      </c>
      <c r="F32" s="340">
        <v>386.81999999999971</v>
      </c>
      <c r="G32" s="340"/>
      <c r="H32" s="340">
        <v>1610.3600000000001</v>
      </c>
      <c r="I32" s="340">
        <v>1610.3600000000001</v>
      </c>
      <c r="J32" s="340">
        <v>24371.8</v>
      </c>
      <c r="K32" s="340">
        <v>7214.4128000000001</v>
      </c>
      <c r="L32" s="367">
        <v>0</v>
      </c>
      <c r="M32" s="340" t="s">
        <v>387</v>
      </c>
      <c r="N32" s="80" t="s">
        <v>365</v>
      </c>
      <c r="O32" s="164">
        <v>40966</v>
      </c>
      <c r="P32" s="258"/>
      <c r="Q32" s="80">
        <v>1734</v>
      </c>
      <c r="R32" s="80">
        <v>100</v>
      </c>
      <c r="S32" s="164"/>
      <c r="T32" s="258" t="s">
        <v>487</v>
      </c>
      <c r="U32" s="258">
        <v>4</v>
      </c>
      <c r="V32" s="368"/>
      <c r="W32" s="261"/>
      <c r="X32" s="261"/>
      <c r="Y32" s="261"/>
      <c r="Z32" s="261"/>
      <c r="AA32" s="261"/>
      <c r="AB32" s="80"/>
    </row>
    <row r="33" spans="2:28" ht="48" x14ac:dyDescent="0.35">
      <c r="B33" s="11"/>
      <c r="C33" s="203" t="s">
        <v>485</v>
      </c>
      <c r="D33" s="340">
        <v>19955.82</v>
      </c>
      <c r="E33" s="340">
        <v>2550.7799999999997</v>
      </c>
      <c r="F33" s="340">
        <v>343.70000000000073</v>
      </c>
      <c r="G33" s="340"/>
      <c r="H33" s="340">
        <v>1406.02</v>
      </c>
      <c r="I33" s="340">
        <v>1406.02</v>
      </c>
      <c r="J33" s="340">
        <v>22850.3</v>
      </c>
      <c r="K33" s="340">
        <v>6495.8464000000004</v>
      </c>
      <c r="L33" s="367">
        <v>0</v>
      </c>
      <c r="M33" s="340" t="s">
        <v>391</v>
      </c>
      <c r="N33" s="80" t="s">
        <v>365</v>
      </c>
      <c r="O33" s="164">
        <v>41764</v>
      </c>
      <c r="P33" s="258"/>
      <c r="Q33" s="80">
        <v>1734</v>
      </c>
      <c r="R33" s="80">
        <v>90</v>
      </c>
      <c r="S33" s="164"/>
      <c r="T33" s="258" t="s">
        <v>495</v>
      </c>
      <c r="U33" s="258">
        <v>4</v>
      </c>
      <c r="V33" s="368"/>
      <c r="W33" s="261"/>
      <c r="X33" s="261"/>
      <c r="Y33" s="261"/>
      <c r="Z33" s="261"/>
      <c r="AA33" s="261"/>
      <c r="AB33" s="80"/>
    </row>
    <row r="34" spans="2:28" ht="48" x14ac:dyDescent="0.35">
      <c r="B34" s="11"/>
      <c r="C34" s="203" t="s">
        <v>485</v>
      </c>
      <c r="D34" s="340">
        <v>29101.86</v>
      </c>
      <c r="E34" s="340">
        <v>894.91000000000008</v>
      </c>
      <c r="F34" s="340">
        <v>6628.4399999999951</v>
      </c>
      <c r="G34" s="340"/>
      <c r="H34" s="340">
        <v>2515.89</v>
      </c>
      <c r="I34" s="340">
        <v>2515.89</v>
      </c>
      <c r="J34" s="340">
        <v>36625.21</v>
      </c>
      <c r="K34" s="340">
        <v>11433.695999999998</v>
      </c>
      <c r="L34" s="367">
        <v>0</v>
      </c>
      <c r="M34" s="340" t="s">
        <v>541</v>
      </c>
      <c r="N34" s="80" t="s">
        <v>365</v>
      </c>
      <c r="O34" s="164">
        <v>42900</v>
      </c>
      <c r="P34" s="378"/>
      <c r="Q34" s="80">
        <v>1734</v>
      </c>
      <c r="R34" s="80">
        <v>100</v>
      </c>
      <c r="S34" s="164"/>
      <c r="T34" s="258" t="s">
        <v>486</v>
      </c>
      <c r="U34" s="258">
        <v>2</v>
      </c>
      <c r="V34" s="368"/>
      <c r="W34" s="261"/>
      <c r="X34" s="261"/>
      <c r="Y34" s="261"/>
      <c r="Z34" s="261"/>
      <c r="AA34" s="261"/>
      <c r="AB34" s="80"/>
    </row>
    <row r="35" spans="2:28" ht="48" x14ac:dyDescent="0.35">
      <c r="B35" s="11"/>
      <c r="C35" s="203" t="s">
        <v>485</v>
      </c>
      <c r="D35" s="340">
        <v>31852.379999999997</v>
      </c>
      <c r="E35" s="340">
        <v>12828.84</v>
      </c>
      <c r="F35" s="340">
        <v>26089.700000000004</v>
      </c>
      <c r="G35" s="340"/>
      <c r="H35" s="340">
        <v>4138.72</v>
      </c>
      <c r="I35" s="340">
        <v>4138.72</v>
      </c>
      <c r="J35" s="340">
        <v>70770.92</v>
      </c>
      <c r="K35" s="340">
        <v>18126.72</v>
      </c>
      <c r="L35" s="367">
        <v>1900</v>
      </c>
      <c r="M35" s="340" t="s">
        <v>387</v>
      </c>
      <c r="N35" s="80" t="s">
        <v>365</v>
      </c>
      <c r="O35" s="164">
        <v>43560</v>
      </c>
      <c r="P35" s="258"/>
      <c r="Q35" s="80">
        <v>1734</v>
      </c>
      <c r="R35" s="80">
        <v>100</v>
      </c>
      <c r="S35" s="164"/>
      <c r="T35" s="258" t="s">
        <v>493</v>
      </c>
      <c r="U35" s="258">
        <v>1</v>
      </c>
      <c r="V35" s="368"/>
      <c r="W35" s="261"/>
      <c r="X35" s="261"/>
      <c r="Y35" s="261"/>
      <c r="Z35" s="261"/>
      <c r="AA35" s="261"/>
      <c r="AB35" s="80"/>
    </row>
    <row r="36" spans="2:28" ht="48" x14ac:dyDescent="0.35">
      <c r="B36" s="11"/>
      <c r="C36" s="203" t="s">
        <v>485</v>
      </c>
      <c r="D36" s="340">
        <v>20959.12</v>
      </c>
      <c r="E36" s="340">
        <v>2388.75</v>
      </c>
      <c r="F36" s="340">
        <v>381.92000000000189</v>
      </c>
      <c r="G36" s="340"/>
      <c r="H36" s="340">
        <v>1524.3600000000001</v>
      </c>
      <c r="I36" s="340">
        <v>1524.3600000000001</v>
      </c>
      <c r="J36" s="340">
        <v>23729.79</v>
      </c>
      <c r="K36" s="340">
        <v>6829.1328000000003</v>
      </c>
      <c r="L36" s="367">
        <v>0</v>
      </c>
      <c r="M36" s="340" t="s">
        <v>387</v>
      </c>
      <c r="N36" s="80" t="s">
        <v>365</v>
      </c>
      <c r="O36" s="164">
        <v>43607</v>
      </c>
      <c r="P36" s="258"/>
      <c r="Q36" s="80">
        <v>1734</v>
      </c>
      <c r="R36" s="80">
        <v>100</v>
      </c>
      <c r="S36" s="164"/>
      <c r="T36" s="258" t="s">
        <v>495</v>
      </c>
      <c r="U36" s="258">
        <v>4</v>
      </c>
      <c r="V36" s="368"/>
      <c r="W36" s="261"/>
      <c r="X36" s="261"/>
      <c r="Y36" s="261"/>
      <c r="Z36" s="261"/>
      <c r="AA36" s="261"/>
      <c r="AB36" s="80"/>
    </row>
    <row r="37" spans="2:28" ht="48" x14ac:dyDescent="0.35">
      <c r="B37" s="11"/>
      <c r="C37" s="203" t="s">
        <v>485</v>
      </c>
      <c r="D37" s="340">
        <v>6927.62</v>
      </c>
      <c r="E37" s="340">
        <v>1671.02</v>
      </c>
      <c r="F37" s="340">
        <v>1657.1799999999994</v>
      </c>
      <c r="G37" s="340"/>
      <c r="H37" s="340">
        <v>613.19999999999993</v>
      </c>
      <c r="I37" s="340">
        <v>613.19999999999993</v>
      </c>
      <c r="J37" s="340">
        <v>10255.82</v>
      </c>
      <c r="K37" s="340">
        <v>2747.136</v>
      </c>
      <c r="L37" s="367">
        <v>0</v>
      </c>
      <c r="M37" s="340" t="s">
        <v>391</v>
      </c>
      <c r="N37" s="80" t="s">
        <v>365</v>
      </c>
      <c r="O37" s="164">
        <v>43531</v>
      </c>
      <c r="P37" s="258"/>
      <c r="Q37" s="80">
        <v>1734</v>
      </c>
      <c r="R37" s="80">
        <v>25</v>
      </c>
      <c r="S37" s="164"/>
      <c r="T37" s="258" t="s">
        <v>496</v>
      </c>
      <c r="U37" s="258">
        <v>2</v>
      </c>
      <c r="V37" s="368"/>
      <c r="W37" s="261"/>
      <c r="X37" s="261"/>
      <c r="Y37" s="261"/>
      <c r="Z37" s="261"/>
      <c r="AA37" s="261"/>
      <c r="AB37" s="80"/>
    </row>
    <row r="38" spans="2:28" ht="48" x14ac:dyDescent="0.35">
      <c r="B38" s="11"/>
      <c r="C38" s="203" t="s">
        <v>485</v>
      </c>
      <c r="D38" s="340">
        <v>21290.920000000002</v>
      </c>
      <c r="E38" s="340">
        <v>1814.87</v>
      </c>
      <c r="F38" s="340">
        <v>381.91999999999825</v>
      </c>
      <c r="G38" s="340"/>
      <c r="H38" s="340">
        <v>1524.3600000000001</v>
      </c>
      <c r="I38" s="340">
        <v>1524.3600000000001</v>
      </c>
      <c r="J38" s="340">
        <v>23487.71</v>
      </c>
      <c r="K38" s="340">
        <v>6935.3087999999998</v>
      </c>
      <c r="L38" s="367">
        <v>0</v>
      </c>
      <c r="M38" s="340" t="s">
        <v>387</v>
      </c>
      <c r="N38" s="80" t="s">
        <v>365</v>
      </c>
      <c r="O38" s="164">
        <v>43580</v>
      </c>
      <c r="P38" s="258"/>
      <c r="Q38" s="80">
        <v>1734</v>
      </c>
      <c r="R38" s="80">
        <v>100</v>
      </c>
      <c r="S38" s="164"/>
      <c r="T38" s="258" t="s">
        <v>495</v>
      </c>
      <c r="U38" s="258">
        <v>4</v>
      </c>
      <c r="V38" s="368"/>
      <c r="W38" s="261"/>
      <c r="X38" s="261"/>
      <c r="Y38" s="261"/>
      <c r="Z38" s="261"/>
      <c r="AA38" s="261"/>
      <c r="AB38" s="80"/>
    </row>
    <row r="39" spans="2:28" ht="48" x14ac:dyDescent="0.35">
      <c r="B39" s="11"/>
      <c r="C39" s="203" t="s">
        <v>485</v>
      </c>
      <c r="D39" s="340">
        <v>27709.78</v>
      </c>
      <c r="E39" s="340">
        <v>6205.1600000000008</v>
      </c>
      <c r="F39" s="340">
        <v>6628.4400000000023</v>
      </c>
      <c r="G39" s="340"/>
      <c r="H39" s="340">
        <v>2452.73</v>
      </c>
      <c r="I39" s="340">
        <v>2452.73</v>
      </c>
      <c r="J39" s="340">
        <v>40543.380000000005</v>
      </c>
      <c r="K39" s="340">
        <v>10988.2304</v>
      </c>
      <c r="L39" s="367">
        <v>0</v>
      </c>
      <c r="M39" s="340" t="s">
        <v>387</v>
      </c>
      <c r="N39" s="80" t="s">
        <v>365</v>
      </c>
      <c r="O39" s="164">
        <v>43615</v>
      </c>
      <c r="P39" s="258"/>
      <c r="Q39" s="80">
        <v>1734</v>
      </c>
      <c r="R39" s="80">
        <v>100</v>
      </c>
      <c r="S39" s="164"/>
      <c r="T39" s="258" t="s">
        <v>496</v>
      </c>
      <c r="U39" s="258">
        <v>2</v>
      </c>
      <c r="V39" s="368"/>
      <c r="W39" s="261"/>
      <c r="X39" s="261"/>
      <c r="Y39" s="261"/>
      <c r="Z39" s="261"/>
      <c r="AA39" s="261"/>
      <c r="AB39" s="80"/>
    </row>
    <row r="40" spans="2:28" ht="48" x14ac:dyDescent="0.35">
      <c r="B40" s="11"/>
      <c r="C40" s="203" t="s">
        <v>485</v>
      </c>
      <c r="D40" s="340">
        <v>27343.68</v>
      </c>
      <c r="E40" s="340">
        <v>8081.2</v>
      </c>
      <c r="F40" s="340">
        <v>6628.4400000000023</v>
      </c>
      <c r="G40" s="340"/>
      <c r="H40" s="340">
        <v>2426.5800000000004</v>
      </c>
      <c r="I40" s="340">
        <v>2426.5800000000004</v>
      </c>
      <c r="J40" s="340">
        <v>42053.32</v>
      </c>
      <c r="K40" s="340">
        <v>10871.0784</v>
      </c>
      <c r="L40" s="367">
        <v>0</v>
      </c>
      <c r="M40" s="340" t="s">
        <v>387</v>
      </c>
      <c r="N40" s="80" t="s">
        <v>365</v>
      </c>
      <c r="O40" s="164">
        <v>44422</v>
      </c>
      <c r="P40" s="258"/>
      <c r="Q40" s="80">
        <v>1734</v>
      </c>
      <c r="R40" s="80">
        <v>100</v>
      </c>
      <c r="S40" s="164"/>
      <c r="T40" s="258" t="s">
        <v>496</v>
      </c>
      <c r="U40" s="258">
        <v>2</v>
      </c>
      <c r="V40" s="368"/>
      <c r="W40" s="261"/>
      <c r="X40" s="261"/>
      <c r="Y40" s="261"/>
      <c r="Z40" s="261"/>
      <c r="AA40" s="261"/>
      <c r="AB40" s="80"/>
    </row>
    <row r="41" spans="2:28" ht="48" x14ac:dyDescent="0.35">
      <c r="B41" s="11"/>
      <c r="C41" s="203" t="s">
        <v>485</v>
      </c>
      <c r="D41" s="340">
        <v>30420.46</v>
      </c>
      <c r="E41" s="340">
        <v>21902.210000000003</v>
      </c>
      <c r="F41" s="340">
        <v>17320.659999999996</v>
      </c>
      <c r="G41" s="340"/>
      <c r="H41" s="340">
        <v>3410.0799999999995</v>
      </c>
      <c r="I41" s="340">
        <v>3410.0799999999995</v>
      </c>
      <c r="J41" s="340">
        <v>69643.33</v>
      </c>
      <c r="K41" s="340">
        <v>15277.158399999998</v>
      </c>
      <c r="L41" s="367">
        <v>1900</v>
      </c>
      <c r="M41" s="340" t="s">
        <v>387</v>
      </c>
      <c r="N41" s="80" t="s">
        <v>365</v>
      </c>
      <c r="O41" s="164">
        <v>44442</v>
      </c>
      <c r="P41" s="258"/>
      <c r="Q41" s="80">
        <v>1734</v>
      </c>
      <c r="R41" s="80">
        <v>100</v>
      </c>
      <c r="S41" s="164"/>
      <c r="T41" s="258" t="s">
        <v>523</v>
      </c>
      <c r="U41" s="258">
        <v>1</v>
      </c>
      <c r="V41" s="368"/>
      <c r="W41" s="261"/>
      <c r="X41" s="261"/>
      <c r="Y41" s="261"/>
      <c r="Z41" s="261"/>
      <c r="AA41" s="261"/>
      <c r="AB41" s="80"/>
    </row>
    <row r="42" spans="2:28" ht="48" x14ac:dyDescent="0.35">
      <c r="B42" s="11"/>
      <c r="C42" s="203" t="s">
        <v>485</v>
      </c>
      <c r="D42" s="340">
        <v>13955.28</v>
      </c>
      <c r="E42" s="340">
        <v>4068.4100000000003</v>
      </c>
      <c r="F42" s="340">
        <v>3314.2199999999993</v>
      </c>
      <c r="G42" s="340"/>
      <c r="H42" s="340">
        <v>1213.2900000000002</v>
      </c>
      <c r="I42" s="340">
        <v>1213.2900000000002</v>
      </c>
      <c r="J42" s="340">
        <v>21337.91</v>
      </c>
      <c r="K42" s="340">
        <v>5526.24</v>
      </c>
      <c r="L42" s="367">
        <v>0</v>
      </c>
      <c r="M42" s="340" t="s">
        <v>497</v>
      </c>
      <c r="N42" s="80" t="s">
        <v>365</v>
      </c>
      <c r="O42" s="164">
        <v>44491</v>
      </c>
      <c r="P42" s="258"/>
      <c r="Q42" s="80">
        <v>1734</v>
      </c>
      <c r="R42" s="80">
        <v>50</v>
      </c>
      <c r="S42" s="164"/>
      <c r="T42" s="258" t="s">
        <v>496</v>
      </c>
      <c r="U42" s="258">
        <v>2</v>
      </c>
      <c r="V42" s="368"/>
      <c r="W42" s="261" t="s">
        <v>489</v>
      </c>
      <c r="X42" s="261"/>
      <c r="Y42" s="261"/>
      <c r="Z42" s="261"/>
      <c r="AA42" s="261"/>
      <c r="AB42" s="275" t="s">
        <v>542</v>
      </c>
    </row>
    <row r="43" spans="2:28" ht="48" x14ac:dyDescent="0.35">
      <c r="B43" s="11"/>
      <c r="C43" s="203" t="s">
        <v>485</v>
      </c>
      <c r="D43" s="340">
        <v>17658.48</v>
      </c>
      <c r="E43" s="340">
        <v>2618.66</v>
      </c>
      <c r="F43" s="340">
        <v>0</v>
      </c>
      <c r="G43" s="340"/>
      <c r="H43" s="340">
        <v>1261.32</v>
      </c>
      <c r="I43" s="340">
        <v>1261.32</v>
      </c>
      <c r="J43" s="340">
        <v>20277.14</v>
      </c>
      <c r="K43" s="340">
        <v>5650.7136</v>
      </c>
      <c r="L43" s="367">
        <v>0</v>
      </c>
      <c r="M43" s="340" t="s">
        <v>390</v>
      </c>
      <c r="N43" s="80" t="s">
        <v>365</v>
      </c>
      <c r="O43" s="164">
        <v>44627</v>
      </c>
      <c r="P43" s="258"/>
      <c r="Q43" s="80">
        <v>1734</v>
      </c>
      <c r="R43" s="80">
        <v>100</v>
      </c>
      <c r="S43" s="164"/>
      <c r="T43" s="258" t="s">
        <v>504</v>
      </c>
      <c r="U43" s="258">
        <v>5</v>
      </c>
      <c r="V43" s="368"/>
      <c r="W43" s="261"/>
      <c r="X43" s="261"/>
      <c r="Y43" s="261"/>
      <c r="Z43" s="261"/>
      <c r="AA43" s="261"/>
      <c r="AB43" s="80"/>
    </row>
    <row r="44" spans="2:28" ht="48" x14ac:dyDescent="0.35">
      <c r="B44" s="11"/>
      <c r="C44" s="203" t="s">
        <v>485</v>
      </c>
      <c r="D44" s="340">
        <v>4704.7</v>
      </c>
      <c r="E44" s="340">
        <v>504.42</v>
      </c>
      <c r="F44" s="340">
        <v>3913.4199999999992</v>
      </c>
      <c r="G44" s="340"/>
      <c r="H44" s="340">
        <v>615.57999999999993</v>
      </c>
      <c r="I44" s="340">
        <v>615.57999999999993</v>
      </c>
      <c r="J44" s="340">
        <v>9122.5399999999991</v>
      </c>
      <c r="K44" s="340">
        <v>2757.7983999999997</v>
      </c>
      <c r="L44" s="367">
        <v>285</v>
      </c>
      <c r="M44" s="340" t="s">
        <v>391</v>
      </c>
      <c r="N44" s="80" t="s">
        <v>365</v>
      </c>
      <c r="O44" s="164">
        <v>44807</v>
      </c>
      <c r="P44" s="258"/>
      <c r="Q44" s="80">
        <v>1734</v>
      </c>
      <c r="R44" s="80">
        <v>15</v>
      </c>
      <c r="S44" s="164"/>
      <c r="T44" s="258" t="s">
        <v>493</v>
      </c>
      <c r="U44" s="258">
        <v>1</v>
      </c>
      <c r="V44" s="368"/>
      <c r="W44" s="261"/>
      <c r="X44" s="261"/>
      <c r="Y44" s="261"/>
      <c r="Z44" s="261"/>
      <c r="AA44" s="261"/>
      <c r="AB44" s="80"/>
    </row>
    <row r="45" spans="2:28" ht="48" x14ac:dyDescent="0.35">
      <c r="B45" s="11"/>
      <c r="C45" s="203" t="s">
        <v>485</v>
      </c>
      <c r="D45" s="340">
        <v>20471.5</v>
      </c>
      <c r="E45" s="340">
        <v>2238.7900000000004</v>
      </c>
      <c r="F45" s="340">
        <v>381.92000000000189</v>
      </c>
      <c r="G45" s="340"/>
      <c r="H45" s="340">
        <v>1489.5300000000002</v>
      </c>
      <c r="I45" s="340">
        <v>1489.5300000000002</v>
      </c>
      <c r="J45" s="340">
        <v>23092.210000000003</v>
      </c>
      <c r="K45" s="340">
        <v>6673.0944000000009</v>
      </c>
      <c r="L45" s="367">
        <v>0</v>
      </c>
      <c r="M45" s="340" t="s">
        <v>390</v>
      </c>
      <c r="N45" s="80" t="s">
        <v>365</v>
      </c>
      <c r="O45" s="164">
        <v>45000</v>
      </c>
      <c r="P45" s="258"/>
      <c r="Q45" s="80">
        <v>1734</v>
      </c>
      <c r="R45" s="80">
        <v>100</v>
      </c>
      <c r="S45" s="164">
        <v>45535</v>
      </c>
      <c r="T45" s="258" t="s">
        <v>495</v>
      </c>
      <c r="U45" s="258">
        <v>4</v>
      </c>
      <c r="V45" s="368"/>
      <c r="W45" s="261" t="s">
        <v>489</v>
      </c>
      <c r="X45" s="261"/>
      <c r="Y45" s="261"/>
      <c r="Z45" s="261"/>
      <c r="AA45" s="261"/>
      <c r="AB45" s="275" t="s">
        <v>543</v>
      </c>
    </row>
    <row r="46" spans="2:28" s="126" customFormat="1" ht="75" customHeight="1" x14ac:dyDescent="0.35">
      <c r="B46" s="197" t="s">
        <v>544</v>
      </c>
      <c r="C46" s="207" t="s">
        <v>485</v>
      </c>
      <c r="D46" s="250">
        <f>(1/7)*22762.92</f>
        <v>3251.8457142857137</v>
      </c>
      <c r="E46" s="250">
        <f>(1/7)*3623.84</f>
        <v>517.69142857142856</v>
      </c>
      <c r="F46" s="250">
        <f>(1/7)*7661.52</f>
        <v>1094.5028571428572</v>
      </c>
      <c r="G46" s="250"/>
      <c r="H46" s="250">
        <f>(1/7)*2010.78</f>
        <v>287.25428571428569</v>
      </c>
      <c r="I46" s="250">
        <f>(1/7)*2010.78</f>
        <v>287.25428571428569</v>
      </c>
      <c r="J46" s="250">
        <f>(1/7)*34048.28</f>
        <v>4864.04</v>
      </c>
      <c r="K46" s="250">
        <f>(1/7)*9735.8208</f>
        <v>1390.8315428571427</v>
      </c>
      <c r="L46" s="237">
        <f>(1/7)*2700</f>
        <v>385.71428571428567</v>
      </c>
      <c r="M46" s="235" t="s">
        <v>387</v>
      </c>
      <c r="N46" s="235" t="s">
        <v>365</v>
      </c>
      <c r="O46" s="211">
        <v>38930</v>
      </c>
      <c r="P46" s="251"/>
      <c r="Q46" s="235">
        <v>1734</v>
      </c>
      <c r="R46" s="252">
        <f>(1/7)*100</f>
        <v>14.285714285714285</v>
      </c>
      <c r="S46" s="235"/>
      <c r="T46" s="251" t="s">
        <v>506</v>
      </c>
      <c r="U46" s="251">
        <v>8</v>
      </c>
      <c r="V46" s="207"/>
      <c r="W46" s="242"/>
      <c r="X46" s="242"/>
      <c r="Y46" s="242"/>
      <c r="Z46" s="242"/>
      <c r="AA46" s="242"/>
      <c r="AB46" s="235"/>
    </row>
    <row r="47" spans="2:28" ht="48" x14ac:dyDescent="0.35">
      <c r="B47" s="166" t="s">
        <v>545</v>
      </c>
      <c r="C47" s="207" t="s">
        <v>485</v>
      </c>
      <c r="D47" s="250">
        <f>28456.62/2</f>
        <v>14228.31</v>
      </c>
      <c r="E47" s="250">
        <f>45/2</f>
        <v>22.5</v>
      </c>
      <c r="F47" s="250">
        <f>21826.84/2</f>
        <v>10913.42</v>
      </c>
      <c r="G47" s="250"/>
      <c r="H47" s="250">
        <f>3571.43/2</f>
        <v>1785.7149999999999</v>
      </c>
      <c r="I47" s="250">
        <f>3571.43/2</f>
        <v>1785.7149999999999</v>
      </c>
      <c r="J47" s="250">
        <f>50328.46/2</f>
        <v>25164.23</v>
      </c>
      <c r="K47" s="250">
        <f>16090.7072/2</f>
        <v>8045.3536000000004</v>
      </c>
      <c r="L47" s="351">
        <f>2000/2</f>
        <v>1000</v>
      </c>
      <c r="M47" s="250" t="s">
        <v>387</v>
      </c>
      <c r="N47" s="235" t="s">
        <v>365</v>
      </c>
      <c r="O47" s="211">
        <v>45433</v>
      </c>
      <c r="P47" s="235"/>
      <c r="Q47" s="235">
        <v>1734</v>
      </c>
      <c r="R47" s="235">
        <f>100*0.5</f>
        <v>50</v>
      </c>
      <c r="S47" s="211"/>
      <c r="T47" s="251" t="s">
        <v>546</v>
      </c>
      <c r="U47" s="235">
        <v>7</v>
      </c>
      <c r="V47" s="353"/>
      <c r="W47" s="242"/>
      <c r="X47" s="242"/>
      <c r="Y47" s="242"/>
      <c r="Z47" s="242"/>
      <c r="AA47" s="242"/>
      <c r="AB47" s="235"/>
    </row>
    <row r="48" spans="2:28" ht="117.75" customHeight="1" x14ac:dyDescent="0.35">
      <c r="B48" s="166" t="s">
        <v>547</v>
      </c>
      <c r="C48" s="207" t="s">
        <v>485</v>
      </c>
      <c r="D48" s="250">
        <v>2406.194</v>
      </c>
      <c r="E48" s="250">
        <v>170.423</v>
      </c>
      <c r="F48" s="250">
        <v>408.92600000000022</v>
      </c>
      <c r="G48" s="250"/>
      <c r="H48" s="250">
        <v>201.07999999999998</v>
      </c>
      <c r="I48" s="250">
        <v>201.07999999999998</v>
      </c>
      <c r="J48" s="250">
        <v>2985.5430000000001</v>
      </c>
      <c r="K48" s="250">
        <v>900.83839999999998</v>
      </c>
      <c r="L48" s="351">
        <v>0</v>
      </c>
      <c r="M48" s="250" t="s">
        <v>390</v>
      </c>
      <c r="N48" s="235" t="s">
        <v>365</v>
      </c>
      <c r="O48" s="211">
        <v>39167</v>
      </c>
      <c r="P48" s="238"/>
      <c r="Q48" s="235">
        <v>1734</v>
      </c>
      <c r="R48" s="252">
        <v>10</v>
      </c>
      <c r="S48" s="352"/>
      <c r="T48" s="251" t="s">
        <v>508</v>
      </c>
      <c r="U48" s="251">
        <v>8</v>
      </c>
      <c r="V48" s="242"/>
      <c r="W48" s="242"/>
      <c r="X48" s="242"/>
      <c r="Y48" s="242"/>
      <c r="Z48" s="242"/>
      <c r="AA48" s="242"/>
      <c r="AB48" s="235"/>
    </row>
    <row r="49" spans="1:29" ht="117.75" customHeight="1" x14ac:dyDescent="0.35">
      <c r="B49" s="166" t="s">
        <v>547</v>
      </c>
      <c r="C49" s="207" t="s">
        <v>485</v>
      </c>
      <c r="D49" s="250">
        <v>2387.252</v>
      </c>
      <c r="E49" s="250">
        <v>143.655</v>
      </c>
      <c r="F49" s="250">
        <v>482.39799999999997</v>
      </c>
      <c r="G49" s="250"/>
      <c r="H49" s="250">
        <v>201.10499999999999</v>
      </c>
      <c r="I49" s="250">
        <v>201.10499999999999</v>
      </c>
      <c r="J49" s="250">
        <v>3013.3049999999998</v>
      </c>
      <c r="K49" s="250">
        <v>918.28800000000012</v>
      </c>
      <c r="L49" s="351">
        <v>0</v>
      </c>
      <c r="M49" s="250" t="s">
        <v>387</v>
      </c>
      <c r="N49" s="235" t="s">
        <v>365</v>
      </c>
      <c r="O49" s="211">
        <v>38845</v>
      </c>
      <c r="P49" s="238"/>
      <c r="Q49" s="235">
        <v>1734</v>
      </c>
      <c r="R49" s="252">
        <v>10</v>
      </c>
      <c r="S49" s="352"/>
      <c r="T49" s="251" t="s">
        <v>509</v>
      </c>
      <c r="U49" s="251">
        <v>8</v>
      </c>
      <c r="V49" s="242"/>
      <c r="W49" s="242"/>
      <c r="X49" s="242"/>
      <c r="Y49" s="242"/>
      <c r="Z49" s="242"/>
      <c r="AA49" s="242"/>
      <c r="AB49" s="235"/>
    </row>
    <row r="50" spans="1:29" ht="117.75" customHeight="1" x14ac:dyDescent="0.35">
      <c r="B50" s="166" t="s">
        <v>547</v>
      </c>
      <c r="C50" s="207" t="s">
        <v>485</v>
      </c>
      <c r="D50" s="250">
        <v>3242.0080000000003</v>
      </c>
      <c r="E50" s="250">
        <v>1515.021</v>
      </c>
      <c r="F50" s="250">
        <v>5267.9680000000008</v>
      </c>
      <c r="G50" s="250"/>
      <c r="H50" s="250">
        <v>557.42200000000003</v>
      </c>
      <c r="I50" s="250">
        <v>557.42200000000003</v>
      </c>
      <c r="J50" s="250">
        <v>10024.996999999999</v>
      </c>
      <c r="K50" s="250">
        <v>1812.672</v>
      </c>
      <c r="L50" s="351">
        <v>1250</v>
      </c>
      <c r="M50" s="250" t="s">
        <v>387</v>
      </c>
      <c r="N50" s="235" t="s">
        <v>365</v>
      </c>
      <c r="O50" s="211">
        <v>33273</v>
      </c>
      <c r="P50" s="238"/>
      <c r="Q50" s="235">
        <v>1734</v>
      </c>
      <c r="R50" s="252">
        <v>10</v>
      </c>
      <c r="S50" s="352"/>
      <c r="T50" s="251" t="s">
        <v>510</v>
      </c>
      <c r="U50" s="251">
        <v>6</v>
      </c>
      <c r="V50" s="242"/>
      <c r="W50" s="242"/>
      <c r="X50" s="242"/>
      <c r="Y50" s="242"/>
      <c r="Z50" s="242"/>
      <c r="AA50" s="242"/>
      <c r="AB50" s="235"/>
    </row>
    <row r="51" spans="1:29" ht="117.75" customHeight="1" x14ac:dyDescent="0.35">
      <c r="B51" s="166" t="s">
        <v>547</v>
      </c>
      <c r="C51" s="207" t="s">
        <v>485</v>
      </c>
      <c r="D51" s="250">
        <v>3097.57</v>
      </c>
      <c r="E51" s="250">
        <v>565.12999999999988</v>
      </c>
      <c r="F51" s="250">
        <v>3069.3339999999994</v>
      </c>
      <c r="G51" s="250"/>
      <c r="H51" s="250">
        <v>366.48399999999998</v>
      </c>
      <c r="I51" s="250">
        <v>366.48399999999998</v>
      </c>
      <c r="J51" s="250">
        <v>6732.0339999999997</v>
      </c>
      <c r="K51" s="250">
        <v>1812.672</v>
      </c>
      <c r="L51" s="351">
        <v>432</v>
      </c>
      <c r="M51" s="250" t="s">
        <v>387</v>
      </c>
      <c r="N51" s="235" t="s">
        <v>365</v>
      </c>
      <c r="O51" s="211">
        <v>31845</v>
      </c>
      <c r="P51" s="238"/>
      <c r="Q51" s="235">
        <v>1734</v>
      </c>
      <c r="R51" s="252">
        <v>10</v>
      </c>
      <c r="S51" s="352"/>
      <c r="T51" s="251" t="s">
        <v>511</v>
      </c>
      <c r="U51" s="251">
        <v>2</v>
      </c>
      <c r="V51" s="242"/>
      <c r="W51" s="242"/>
      <c r="X51" s="242"/>
      <c r="Y51" s="242"/>
      <c r="Z51" s="242"/>
      <c r="AA51" s="242"/>
      <c r="AB51" s="235"/>
    </row>
    <row r="52" spans="1:29" ht="117.75" customHeight="1" x14ac:dyDescent="0.35">
      <c r="B52" s="166" t="s">
        <v>547</v>
      </c>
      <c r="C52" s="207" t="s">
        <v>485</v>
      </c>
      <c r="D52" s="250">
        <v>1713.2079999999999</v>
      </c>
      <c r="E52" s="250">
        <v>37.150999999999996</v>
      </c>
      <c r="F52" s="250">
        <v>4162.7039999999997</v>
      </c>
      <c r="G52" s="250"/>
      <c r="H52" s="250">
        <v>417.33800000000002</v>
      </c>
      <c r="I52" s="250">
        <v>417.33800000000002</v>
      </c>
      <c r="J52" s="250">
        <v>5913.0630000000001</v>
      </c>
      <c r="K52" s="250">
        <v>1812.672</v>
      </c>
      <c r="L52" s="351">
        <v>0</v>
      </c>
      <c r="M52" s="250" t="s">
        <v>391</v>
      </c>
      <c r="N52" s="235" t="s">
        <v>365</v>
      </c>
      <c r="O52" s="211">
        <v>35977</v>
      </c>
      <c r="P52" s="238"/>
      <c r="Q52" s="235">
        <v>1734</v>
      </c>
      <c r="R52" s="252">
        <v>5</v>
      </c>
      <c r="S52" s="352"/>
      <c r="T52" s="251" t="s">
        <v>512</v>
      </c>
      <c r="U52" s="251">
        <v>1</v>
      </c>
      <c r="V52" s="242"/>
      <c r="W52" s="242"/>
      <c r="X52" s="242"/>
      <c r="Y52" s="242"/>
      <c r="Z52" s="242"/>
      <c r="AA52" s="242"/>
      <c r="AB52" s="235"/>
    </row>
    <row r="53" spans="1:29" ht="117.75" customHeight="1" x14ac:dyDescent="0.35">
      <c r="B53" s="166" t="s">
        <v>547</v>
      </c>
      <c r="C53" s="207" t="s">
        <v>485</v>
      </c>
      <c r="D53" s="250">
        <v>2606.982</v>
      </c>
      <c r="E53" s="250">
        <v>473.12299999999993</v>
      </c>
      <c r="F53" s="250">
        <v>2571.4499999999998</v>
      </c>
      <c r="G53" s="250"/>
      <c r="H53" s="250">
        <v>368.38800000000003</v>
      </c>
      <c r="I53" s="250">
        <v>368.38800000000003</v>
      </c>
      <c r="J53" s="250">
        <v>5651.5550000000003</v>
      </c>
      <c r="K53" s="250">
        <v>1657.09824</v>
      </c>
      <c r="L53" s="351">
        <v>240</v>
      </c>
      <c r="M53" s="250" t="s">
        <v>387</v>
      </c>
      <c r="N53" s="235" t="s">
        <v>365</v>
      </c>
      <c r="O53" s="211">
        <v>33493</v>
      </c>
      <c r="P53" s="238"/>
      <c r="Q53" s="235">
        <v>1734</v>
      </c>
      <c r="R53" s="252">
        <v>10</v>
      </c>
      <c r="S53" s="352"/>
      <c r="T53" s="251" t="s">
        <v>513</v>
      </c>
      <c r="U53" s="251">
        <v>8</v>
      </c>
      <c r="V53" s="242"/>
      <c r="W53" s="242"/>
      <c r="X53" s="242"/>
      <c r="Y53" s="242"/>
      <c r="Z53" s="242"/>
      <c r="AA53" s="242"/>
      <c r="AB53" s="235"/>
    </row>
    <row r="54" spans="1:29" ht="117.75" customHeight="1" x14ac:dyDescent="0.35">
      <c r="B54" s="166" t="s">
        <v>547</v>
      </c>
      <c r="C54" s="207" t="s">
        <v>485</v>
      </c>
      <c r="D54" s="250">
        <v>2118.288</v>
      </c>
      <c r="E54" s="250">
        <v>215.75200000000001</v>
      </c>
      <c r="F54" s="250">
        <v>0</v>
      </c>
      <c r="G54" s="250"/>
      <c r="H54" s="250">
        <v>150.29400000000001</v>
      </c>
      <c r="I54" s="250">
        <v>150.29400000000001</v>
      </c>
      <c r="J54" s="250">
        <v>2334.04</v>
      </c>
      <c r="K54" s="250">
        <v>677.85216000000003</v>
      </c>
      <c r="L54" s="351">
        <v>0</v>
      </c>
      <c r="M54" s="250" t="s">
        <v>390</v>
      </c>
      <c r="N54" s="235" t="s">
        <v>365</v>
      </c>
      <c r="O54" s="211">
        <v>42401</v>
      </c>
      <c r="P54" s="238"/>
      <c r="Q54" s="235">
        <v>1734</v>
      </c>
      <c r="R54" s="252">
        <v>10</v>
      </c>
      <c r="S54" s="352"/>
      <c r="T54" s="251" t="s">
        <v>514</v>
      </c>
      <c r="U54" s="251">
        <v>4</v>
      </c>
      <c r="V54" s="242"/>
      <c r="W54" s="242"/>
      <c r="X54" s="242"/>
      <c r="Y54" s="242"/>
      <c r="Z54" s="242"/>
      <c r="AA54" s="242"/>
      <c r="AB54" s="235"/>
    </row>
    <row r="55" spans="1:29" ht="117.75" customHeight="1" x14ac:dyDescent="0.35">
      <c r="B55" s="166" t="s">
        <v>547</v>
      </c>
      <c r="C55" s="207" t="s">
        <v>485</v>
      </c>
      <c r="D55" s="250">
        <v>3013.0940000000001</v>
      </c>
      <c r="E55" s="250">
        <v>117.37100000000001</v>
      </c>
      <c r="F55" s="250">
        <v>1091.7759999999994</v>
      </c>
      <c r="G55" s="250"/>
      <c r="H55" s="250">
        <v>289.33499999999998</v>
      </c>
      <c r="I55" s="250">
        <v>289.33499999999998</v>
      </c>
      <c r="J55" s="250">
        <v>4222.241</v>
      </c>
      <c r="K55" s="250">
        <v>1313.5583999999999</v>
      </c>
      <c r="L55" s="351">
        <v>0</v>
      </c>
      <c r="M55" s="250" t="s">
        <v>387</v>
      </c>
      <c r="N55" s="235" t="s">
        <v>365</v>
      </c>
      <c r="O55" s="211">
        <v>42509</v>
      </c>
      <c r="P55" s="238"/>
      <c r="Q55" s="235">
        <v>1734</v>
      </c>
      <c r="R55" s="252">
        <v>10</v>
      </c>
      <c r="S55" s="352"/>
      <c r="T55" s="251" t="s">
        <v>515</v>
      </c>
      <c r="U55" s="251">
        <v>7</v>
      </c>
      <c r="V55" s="242"/>
      <c r="W55" s="242"/>
      <c r="X55" s="242"/>
      <c r="Y55" s="242"/>
      <c r="Z55" s="242"/>
      <c r="AA55" s="242"/>
      <c r="AB55" s="235"/>
    </row>
    <row r="56" spans="1:29" ht="117.75" customHeight="1" x14ac:dyDescent="0.35">
      <c r="B56" s="166" t="s">
        <v>547</v>
      </c>
      <c r="C56" s="207" t="s">
        <v>485</v>
      </c>
      <c r="D56" s="250">
        <v>3247</v>
      </c>
      <c r="E56" s="250">
        <v>204.42800000000003</v>
      </c>
      <c r="F56" s="250">
        <v>993.11800000000005</v>
      </c>
      <c r="G56" s="250"/>
      <c r="H56" s="250">
        <v>300.84100000000001</v>
      </c>
      <c r="I56" s="250">
        <v>300.84100000000001</v>
      </c>
      <c r="J56" s="250">
        <v>4444.5460000000003</v>
      </c>
      <c r="K56" s="250">
        <v>1356.8377599999999</v>
      </c>
      <c r="L56" s="351">
        <v>0</v>
      </c>
      <c r="M56" s="250" t="s">
        <v>387</v>
      </c>
      <c r="N56" s="235" t="s">
        <v>365</v>
      </c>
      <c r="O56" s="211">
        <v>42522</v>
      </c>
      <c r="P56" s="238"/>
      <c r="Q56" s="235">
        <v>1734</v>
      </c>
      <c r="R56" s="252">
        <v>10</v>
      </c>
      <c r="S56" s="352"/>
      <c r="T56" s="251" t="s">
        <v>516</v>
      </c>
      <c r="U56" s="251">
        <v>1</v>
      </c>
      <c r="V56" s="242"/>
      <c r="W56" s="242"/>
      <c r="X56" s="242"/>
      <c r="Y56" s="242"/>
      <c r="Z56" s="242"/>
      <c r="AA56" s="242"/>
      <c r="AB56" s="235"/>
    </row>
    <row r="57" spans="1:29" ht="117.75" customHeight="1" x14ac:dyDescent="0.35">
      <c r="B57" s="166" t="s">
        <v>547</v>
      </c>
      <c r="C57" s="207" t="s">
        <v>485</v>
      </c>
      <c r="D57" s="250">
        <v>2230.2219999999998</v>
      </c>
      <c r="E57" s="250">
        <v>225.20100000000002</v>
      </c>
      <c r="F57" s="250">
        <v>429.92600000000022</v>
      </c>
      <c r="G57" s="250"/>
      <c r="H57" s="250">
        <v>186.48600000000002</v>
      </c>
      <c r="I57" s="250">
        <v>186.48600000000002</v>
      </c>
      <c r="J57" s="250">
        <v>2885.3489999999997</v>
      </c>
      <c r="K57" s="250">
        <v>851.24735999999996</v>
      </c>
      <c r="L57" s="351">
        <v>0</v>
      </c>
      <c r="M57" s="250" t="s">
        <v>387</v>
      </c>
      <c r="N57" s="235" t="s">
        <v>365</v>
      </c>
      <c r="O57" s="211">
        <v>44503</v>
      </c>
      <c r="P57" s="238"/>
      <c r="Q57" s="235">
        <v>1734</v>
      </c>
      <c r="R57" s="252">
        <v>10</v>
      </c>
      <c r="S57" s="352"/>
      <c r="T57" s="251" t="s">
        <v>509</v>
      </c>
      <c r="U57" s="251">
        <v>8</v>
      </c>
      <c r="V57" s="242"/>
      <c r="W57" s="242"/>
      <c r="X57" s="242"/>
      <c r="Y57" s="242"/>
      <c r="Z57" s="242"/>
      <c r="AA57" s="242"/>
      <c r="AB57" s="235"/>
    </row>
    <row r="58" spans="1:29" x14ac:dyDescent="0.35">
      <c r="B58" s="135"/>
      <c r="L58" s="198"/>
      <c r="Y58" s="126"/>
      <c r="Z58" s="126"/>
      <c r="AA58" s="126"/>
      <c r="AB58" s="126"/>
      <c r="AC58" s="126"/>
    </row>
    <row r="59" spans="1:29" x14ac:dyDescent="0.35">
      <c r="B59" s="135"/>
      <c r="L59" s="198"/>
      <c r="Y59" s="126"/>
      <c r="Z59" s="126"/>
      <c r="AA59" s="126"/>
      <c r="AB59" s="126"/>
      <c r="AC59" s="126"/>
    </row>
    <row r="60" spans="1:29" ht="19" thickBot="1" x14ac:dyDescent="0.5">
      <c r="B60" s="18" t="s">
        <v>17</v>
      </c>
      <c r="C60" s="1"/>
      <c r="E60"/>
      <c r="L60" s="198"/>
    </row>
    <row r="61" spans="1:29" ht="33.75" customHeight="1" x14ac:dyDescent="0.35">
      <c r="B61" s="19" t="s">
        <v>344</v>
      </c>
      <c r="C61" s="19" t="s">
        <v>2</v>
      </c>
      <c r="D61" s="19" t="s">
        <v>21</v>
      </c>
      <c r="E61" s="19" t="s">
        <v>1</v>
      </c>
      <c r="F61" s="19" t="s">
        <v>22</v>
      </c>
      <c r="G61" s="19" t="s">
        <v>14</v>
      </c>
      <c r="H61" s="19" t="s">
        <v>18</v>
      </c>
      <c r="I61" s="19" t="s">
        <v>15</v>
      </c>
      <c r="J61" s="19" t="s">
        <v>10</v>
      </c>
      <c r="K61" s="19" t="s">
        <v>23</v>
      </c>
      <c r="L61" s="19" t="s">
        <v>16</v>
      </c>
      <c r="M61" s="19" t="s">
        <v>3</v>
      </c>
      <c r="N61" s="19" t="s">
        <v>11</v>
      </c>
      <c r="O61" s="19" t="s">
        <v>4</v>
      </c>
      <c r="P61" s="19" t="s">
        <v>5</v>
      </c>
      <c r="Q61" s="19" t="s">
        <v>24</v>
      </c>
      <c r="R61" s="19" t="s">
        <v>25</v>
      </c>
      <c r="S61" s="19" t="s">
        <v>26</v>
      </c>
      <c r="T61" s="19" t="s">
        <v>27</v>
      </c>
      <c r="U61" s="19" t="s">
        <v>6</v>
      </c>
      <c r="V61" s="19" t="s">
        <v>7</v>
      </c>
      <c r="W61" s="19" t="s">
        <v>28</v>
      </c>
      <c r="X61" s="19" t="s">
        <v>29</v>
      </c>
      <c r="Y61" s="19" t="s">
        <v>30</v>
      </c>
      <c r="Z61" s="19" t="s">
        <v>31</v>
      </c>
      <c r="AA61" s="57" t="s">
        <v>8</v>
      </c>
      <c r="AB61" s="57" t="s">
        <v>9</v>
      </c>
    </row>
    <row r="62" spans="1:29" ht="24" x14ac:dyDescent="0.35">
      <c r="B62" s="154"/>
      <c r="C62" s="155" t="s">
        <v>485</v>
      </c>
      <c r="D62" s="156">
        <v>0</v>
      </c>
      <c r="E62" s="156">
        <v>0</v>
      </c>
      <c r="F62" s="156">
        <v>0</v>
      </c>
      <c r="G62" s="156"/>
      <c r="H62" s="156">
        <v>0</v>
      </c>
      <c r="I62" s="156">
        <v>0</v>
      </c>
      <c r="J62" s="156">
        <v>0</v>
      </c>
      <c r="K62" s="156">
        <v>0</v>
      </c>
      <c r="L62" s="157">
        <v>0</v>
      </c>
      <c r="M62" s="156" t="s">
        <v>387</v>
      </c>
      <c r="N62" s="154" t="s">
        <v>365</v>
      </c>
      <c r="O62" s="158">
        <v>38470</v>
      </c>
      <c r="P62" s="159"/>
      <c r="Q62" s="160">
        <v>1734</v>
      </c>
      <c r="R62" s="160">
        <v>100</v>
      </c>
      <c r="S62" s="160"/>
      <c r="T62" s="161" t="s">
        <v>486</v>
      </c>
      <c r="U62" s="161">
        <v>2</v>
      </c>
      <c r="V62" s="163"/>
      <c r="W62" s="192"/>
      <c r="X62" s="162"/>
      <c r="Y62" s="162"/>
      <c r="Z62" s="162"/>
      <c r="AA62" s="162"/>
      <c r="AB62" s="249" t="s">
        <v>517</v>
      </c>
    </row>
    <row r="63" spans="1:29" s="208" customFormat="1" x14ac:dyDescent="0.35">
      <c r="A63" s="355"/>
      <c r="B63" s="154"/>
      <c r="C63" s="155" t="s">
        <v>485</v>
      </c>
      <c r="D63" s="156">
        <v>0</v>
      </c>
      <c r="E63" s="156">
        <v>0</v>
      </c>
      <c r="F63" s="156">
        <v>0</v>
      </c>
      <c r="G63" s="156"/>
      <c r="H63" s="156">
        <v>0</v>
      </c>
      <c r="I63" s="156">
        <v>0</v>
      </c>
      <c r="J63" s="156">
        <v>0</v>
      </c>
      <c r="K63" s="156">
        <v>0</v>
      </c>
      <c r="L63" s="157">
        <v>0</v>
      </c>
      <c r="M63" s="156" t="s">
        <v>387</v>
      </c>
      <c r="N63" s="154" t="s">
        <v>365</v>
      </c>
      <c r="O63" s="158">
        <v>38078</v>
      </c>
      <c r="P63" s="170"/>
      <c r="Q63" s="160">
        <v>1734</v>
      </c>
      <c r="R63" s="160">
        <v>50</v>
      </c>
      <c r="S63" s="158">
        <v>47469</v>
      </c>
      <c r="T63" s="161" t="s">
        <v>486</v>
      </c>
      <c r="U63" s="161">
        <v>2</v>
      </c>
      <c r="V63" s="163"/>
      <c r="W63" s="172"/>
      <c r="X63" s="162"/>
      <c r="Y63" s="162"/>
      <c r="Z63" s="162"/>
      <c r="AA63" s="162"/>
      <c r="AB63" s="162"/>
    </row>
    <row r="64" spans="1:29" x14ac:dyDescent="0.35">
      <c r="B64" s="179"/>
      <c r="C64" s="199"/>
      <c r="D64" s="187"/>
      <c r="E64" s="187"/>
      <c r="F64" s="187"/>
      <c r="G64" s="187"/>
      <c r="H64" s="187"/>
      <c r="I64" s="187"/>
      <c r="J64" s="187"/>
      <c r="K64" s="187"/>
      <c r="L64" s="188"/>
      <c r="M64" s="179"/>
      <c r="N64" s="179"/>
      <c r="O64" s="189"/>
      <c r="P64" s="200"/>
      <c r="Q64" s="190"/>
      <c r="R64" s="190"/>
      <c r="S64" s="190"/>
      <c r="T64" s="182"/>
      <c r="U64" s="182"/>
      <c r="V64" s="201"/>
      <c r="W64" s="191"/>
      <c r="X64" s="191" t="s">
        <v>0</v>
      </c>
      <c r="Y64" s="191"/>
      <c r="Z64" s="191"/>
      <c r="AA64" s="191"/>
      <c r="AB64" s="191"/>
    </row>
    <row r="65" spans="2:29" x14ac:dyDescent="0.35">
      <c r="B65" s="179"/>
      <c r="C65" s="202"/>
      <c r="D65" s="187"/>
      <c r="E65" s="187"/>
      <c r="F65" s="187"/>
      <c r="G65" s="187"/>
      <c r="H65" s="187"/>
      <c r="I65" s="187"/>
      <c r="J65" s="187"/>
      <c r="K65" s="187"/>
      <c r="L65" s="188"/>
      <c r="M65" s="179"/>
      <c r="N65" s="179"/>
      <c r="O65" s="189"/>
      <c r="P65" s="200"/>
      <c r="Q65" s="190"/>
      <c r="R65" s="190"/>
      <c r="S65" s="190"/>
      <c r="T65" s="182"/>
      <c r="U65" s="182"/>
      <c r="V65" s="201"/>
      <c r="W65" s="191"/>
      <c r="X65" s="191"/>
      <c r="Y65" s="191"/>
      <c r="Z65" s="191"/>
      <c r="AA65" s="191"/>
      <c r="AB65" s="191"/>
    </row>
    <row r="66" spans="2:29" x14ac:dyDescent="0.35">
      <c r="B66" s="179"/>
      <c r="C66" s="202"/>
      <c r="D66" s="187"/>
      <c r="E66" s="187"/>
      <c r="F66" s="187"/>
      <c r="G66" s="187"/>
      <c r="H66" s="187"/>
      <c r="I66" s="187"/>
      <c r="J66" s="187"/>
      <c r="K66" s="187"/>
      <c r="L66" s="188"/>
      <c r="M66" s="179"/>
      <c r="N66" s="179"/>
      <c r="O66" s="189"/>
      <c r="P66" s="200"/>
      <c r="Q66" s="190"/>
      <c r="R66" s="190"/>
      <c r="S66" s="190"/>
      <c r="T66" s="182"/>
      <c r="U66" s="182"/>
      <c r="V66" s="201"/>
      <c r="W66" s="191"/>
      <c r="X66" s="191"/>
      <c r="Y66" s="191"/>
      <c r="Z66" s="191"/>
      <c r="AA66" s="191"/>
      <c r="AB66" s="191"/>
    </row>
    <row r="67" spans="2:29" x14ac:dyDescent="0.35">
      <c r="B67" s="154"/>
      <c r="C67" s="202"/>
      <c r="D67" s="156"/>
      <c r="E67" s="156"/>
      <c r="F67" s="156"/>
      <c r="G67" s="156"/>
      <c r="H67" s="156"/>
      <c r="I67" s="156"/>
      <c r="J67" s="156"/>
      <c r="K67" s="156"/>
      <c r="L67" s="168"/>
      <c r="M67" s="154"/>
      <c r="N67" s="154"/>
      <c r="O67" s="158"/>
      <c r="P67" s="170"/>
      <c r="Q67" s="160"/>
      <c r="R67" s="160"/>
      <c r="S67" s="160"/>
      <c r="T67" s="161"/>
      <c r="U67" s="161"/>
      <c r="V67" s="173"/>
      <c r="W67" s="162"/>
      <c r="X67" s="162"/>
      <c r="Y67" s="162"/>
      <c r="Z67" s="162"/>
      <c r="AA67" s="162"/>
      <c r="AB67" s="162"/>
    </row>
    <row r="68" spans="2:29" x14ac:dyDescent="0.35">
      <c r="B68" s="154"/>
      <c r="C68" s="202"/>
      <c r="D68" s="156"/>
      <c r="E68" s="156"/>
      <c r="F68" s="156"/>
      <c r="G68" s="156"/>
      <c r="H68" s="156"/>
      <c r="I68" s="156"/>
      <c r="J68" s="156"/>
      <c r="K68" s="156"/>
      <c r="L68" s="168"/>
      <c r="M68" s="154"/>
      <c r="N68" s="154"/>
      <c r="O68" s="158"/>
      <c r="P68" s="170"/>
      <c r="Q68" s="160"/>
      <c r="R68" s="160"/>
      <c r="S68" s="160"/>
      <c r="T68" s="161"/>
      <c r="U68" s="161"/>
      <c r="V68" s="174"/>
      <c r="W68" s="162"/>
      <c r="X68" s="162"/>
      <c r="Y68" s="162"/>
      <c r="Z68" s="162"/>
      <c r="AA68" s="162"/>
      <c r="AB68" s="162"/>
    </row>
    <row r="69" spans="2:29" x14ac:dyDescent="0.35">
      <c r="B69" s="11"/>
      <c r="C69" s="195"/>
      <c r="D69" s="12"/>
      <c r="E69" s="12"/>
      <c r="F69" s="12"/>
      <c r="G69" s="12"/>
      <c r="H69" s="12"/>
      <c r="I69" s="12"/>
      <c r="J69" s="12"/>
      <c r="K69" s="12"/>
      <c r="L69" s="152"/>
      <c r="M69" s="11"/>
      <c r="N69" s="11"/>
      <c r="O69" s="37"/>
      <c r="P69" s="13"/>
      <c r="Q69" s="14"/>
      <c r="R69" s="14"/>
      <c r="S69" s="14"/>
      <c r="T69" s="38"/>
      <c r="U69" s="38"/>
      <c r="V69" s="16"/>
      <c r="W69" s="39"/>
      <c r="X69" s="39"/>
      <c r="Y69" s="39"/>
      <c r="Z69" s="39"/>
      <c r="AA69" s="39"/>
      <c r="AB69" s="39"/>
    </row>
    <row r="70" spans="2:29" x14ac:dyDescent="0.35">
      <c r="B70" s="127"/>
      <c r="C70" s="127"/>
      <c r="D70" s="128"/>
      <c r="E70" s="196"/>
      <c r="F70" s="129"/>
      <c r="G70" s="129"/>
      <c r="H70" s="129"/>
      <c r="I70" s="129"/>
      <c r="J70" s="129"/>
      <c r="K70" s="129"/>
      <c r="L70" s="129"/>
      <c r="M70" s="127"/>
      <c r="N70" s="127"/>
      <c r="O70" s="127"/>
      <c r="P70" s="130"/>
      <c r="Q70" s="131"/>
      <c r="R70" s="132"/>
      <c r="S70" s="132"/>
      <c r="T70" s="132"/>
      <c r="U70" s="133"/>
      <c r="V70" s="133"/>
      <c r="W70" s="134"/>
      <c r="X70" s="126"/>
      <c r="Y70" s="126"/>
      <c r="Z70" s="126"/>
      <c r="AA70" s="126"/>
      <c r="AB70" s="126"/>
      <c r="AC70" s="126"/>
    </row>
    <row r="71" spans="2:29" x14ac:dyDescent="0.35">
      <c r="B71" s="127"/>
      <c r="C71" s="127"/>
      <c r="D71" s="128"/>
      <c r="E71" s="196"/>
      <c r="F71" s="129"/>
      <c r="G71" s="129"/>
      <c r="H71" s="129"/>
      <c r="I71" s="129"/>
      <c r="J71" s="129"/>
      <c r="K71" s="129"/>
      <c r="L71" s="129"/>
      <c r="M71" s="127"/>
      <c r="N71" s="127"/>
      <c r="O71" s="127"/>
      <c r="P71" s="130"/>
      <c r="Q71" s="131"/>
      <c r="R71" s="132"/>
      <c r="S71" s="132"/>
      <c r="T71" s="132"/>
      <c r="U71" s="133"/>
      <c r="V71" s="133"/>
      <c r="W71" s="134"/>
      <c r="X71" s="126"/>
      <c r="Y71" s="126"/>
      <c r="Z71" s="126"/>
      <c r="AA71" s="126"/>
      <c r="AB71" s="126"/>
      <c r="AC71" s="126"/>
    </row>
    <row r="72" spans="2:29" x14ac:dyDescent="0.35">
      <c r="B72" s="135"/>
      <c r="C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  <c r="Q72" s="135"/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71"/>
  <sheetViews>
    <sheetView zoomScaleNormal="100" workbookViewId="0">
      <pane xSplit="2" ySplit="9" topLeftCell="K59" activePane="bottomRight" state="frozen"/>
      <selection activeCell="L5" sqref="L5"/>
      <selection pane="topRight" activeCell="L5" sqref="L5"/>
      <selection pane="bottomLeft" activeCell="L5" sqref="L5"/>
      <selection pane="bottomRight" activeCell="B2" sqref="B2:AB68"/>
    </sheetView>
  </sheetViews>
  <sheetFormatPr defaultColWidth="11.453125" defaultRowHeight="14.5" x14ac:dyDescent="0.35"/>
  <cols>
    <col min="1" max="1" width="5.54296875" customWidth="1"/>
    <col min="2" max="2" width="29.7265625" customWidth="1"/>
    <col min="3" max="3" width="13.54296875" customWidth="1"/>
    <col min="4" max="4" width="24.7265625" customWidth="1"/>
    <col min="5" max="5" width="25.54296875" customWidth="1"/>
    <col min="6" max="30" width="11.453125" customWidth="1"/>
  </cols>
  <sheetData>
    <row r="2" spans="2:28" ht="18.5" x14ac:dyDescent="0.45">
      <c r="B2" s="18" t="s">
        <v>13</v>
      </c>
      <c r="C2" s="1"/>
    </row>
    <row r="3" spans="2:28" x14ac:dyDescent="0.35">
      <c r="B3" s="23"/>
      <c r="C3" s="23"/>
      <c r="F3" s="23"/>
      <c r="G3" s="208"/>
      <c r="Q3" s="23"/>
      <c r="R3" s="23"/>
      <c r="S3" s="23"/>
    </row>
    <row r="4" spans="2:28" ht="15.5" x14ac:dyDescent="0.35">
      <c r="B4" s="62" t="s">
        <v>12</v>
      </c>
      <c r="C4" s="144" t="s">
        <v>481</v>
      </c>
      <c r="D4" s="145"/>
      <c r="E4" s="146"/>
      <c r="G4" s="208"/>
      <c r="Q4" s="23"/>
      <c r="R4" s="23"/>
      <c r="S4" s="23"/>
    </row>
    <row r="5" spans="2:28" ht="15.5" x14ac:dyDescent="0.35">
      <c r="B5" s="62" t="s">
        <v>20</v>
      </c>
      <c r="C5" s="144" t="s">
        <v>548</v>
      </c>
      <c r="D5" s="145"/>
      <c r="E5" s="147"/>
      <c r="Q5" s="23"/>
      <c r="R5" s="23"/>
      <c r="S5" s="23"/>
    </row>
    <row r="6" spans="2:28" ht="15.5" x14ac:dyDescent="0.35">
      <c r="B6" s="64" t="s">
        <v>19</v>
      </c>
      <c r="C6" s="144" t="s">
        <v>549</v>
      </c>
      <c r="D6" s="145"/>
      <c r="E6" s="147"/>
      <c r="Q6" s="23"/>
      <c r="R6" s="23"/>
      <c r="S6" s="23"/>
    </row>
    <row r="7" spans="2:28" ht="15.5" x14ac:dyDescent="0.35">
      <c r="B7" s="62" t="s">
        <v>32</v>
      </c>
      <c r="C7" s="148" t="s">
        <v>484</v>
      </c>
      <c r="D7" s="103"/>
      <c r="E7" s="149"/>
    </row>
    <row r="8" spans="2:28" ht="16" thickBot="1" x14ac:dyDescent="0.4">
      <c r="B8" s="70"/>
      <c r="C8" s="103"/>
      <c r="D8" s="103"/>
    </row>
    <row r="9" spans="2:28" ht="63" x14ac:dyDescent="0.35">
      <c r="B9" s="19" t="s">
        <v>344</v>
      </c>
      <c r="C9" s="19" t="s">
        <v>2</v>
      </c>
      <c r="D9" s="19" t="s">
        <v>21</v>
      </c>
      <c r="E9" s="19" t="s">
        <v>1</v>
      </c>
      <c r="F9" s="19" t="s">
        <v>22</v>
      </c>
      <c r="G9" s="19" t="s">
        <v>14</v>
      </c>
      <c r="H9" s="19" t="s">
        <v>18</v>
      </c>
      <c r="I9" s="19" t="s">
        <v>15</v>
      </c>
      <c r="J9" s="19" t="s">
        <v>10</v>
      </c>
      <c r="K9" s="19" t="s">
        <v>23</v>
      </c>
      <c r="L9" s="19" t="s">
        <v>16</v>
      </c>
      <c r="M9" s="19" t="s">
        <v>3</v>
      </c>
      <c r="N9" s="19" t="s">
        <v>11</v>
      </c>
      <c r="O9" s="19" t="s">
        <v>4</v>
      </c>
      <c r="P9" s="19" t="s">
        <v>5</v>
      </c>
      <c r="Q9" s="19" t="s">
        <v>24</v>
      </c>
      <c r="R9" s="19" t="s">
        <v>25</v>
      </c>
      <c r="S9" s="19" t="s">
        <v>26</v>
      </c>
      <c r="T9" s="19" t="s">
        <v>27</v>
      </c>
      <c r="U9" s="19" t="s">
        <v>6</v>
      </c>
      <c r="V9" s="19" t="s">
        <v>7</v>
      </c>
      <c r="W9" s="19" t="s">
        <v>28</v>
      </c>
      <c r="X9" s="19" t="s">
        <v>29</v>
      </c>
      <c r="Y9" s="19" t="s">
        <v>30</v>
      </c>
      <c r="Z9" s="19" t="s">
        <v>31</v>
      </c>
      <c r="AA9" s="57" t="s">
        <v>8</v>
      </c>
      <c r="AB9" s="57" t="s">
        <v>9</v>
      </c>
    </row>
    <row r="10" spans="2:28" ht="48" x14ac:dyDescent="0.35">
      <c r="B10" s="4"/>
      <c r="C10" s="203" t="s">
        <v>485</v>
      </c>
      <c r="D10" s="365">
        <v>24370.5</v>
      </c>
      <c r="E10" s="365">
        <v>2208.21</v>
      </c>
      <c r="F10" s="365">
        <v>386.81999999999971</v>
      </c>
      <c r="G10" s="365"/>
      <c r="H10" s="365">
        <v>1744.68</v>
      </c>
      <c r="I10" s="365">
        <v>1744.68</v>
      </c>
      <c r="J10" s="365">
        <v>26965.53</v>
      </c>
      <c r="K10" s="365">
        <v>7922.3424000000005</v>
      </c>
      <c r="L10" s="363">
        <v>0</v>
      </c>
      <c r="M10" s="275" t="s">
        <v>387</v>
      </c>
      <c r="N10" s="275" t="s">
        <v>365</v>
      </c>
      <c r="O10" s="366">
        <v>38984</v>
      </c>
      <c r="P10" s="74"/>
      <c r="Q10" s="275">
        <v>1734</v>
      </c>
      <c r="R10" s="275">
        <v>100</v>
      </c>
      <c r="S10" s="164"/>
      <c r="T10" s="74" t="s">
        <v>534</v>
      </c>
      <c r="U10" s="74">
        <v>4</v>
      </c>
      <c r="V10" s="293"/>
      <c r="W10" s="281"/>
      <c r="X10" s="281" t="s">
        <v>0</v>
      </c>
      <c r="Y10" s="281"/>
      <c r="Z10" s="281"/>
      <c r="AA10" s="281"/>
      <c r="AB10" s="281"/>
    </row>
    <row r="11" spans="2:28" ht="48" x14ac:dyDescent="0.35">
      <c r="B11" s="11"/>
      <c r="C11" s="203" t="s">
        <v>485</v>
      </c>
      <c r="D11" s="340">
        <v>29927.379999999997</v>
      </c>
      <c r="E11" s="340">
        <v>5659.65</v>
      </c>
      <c r="F11" s="340">
        <v>6628.4400000000023</v>
      </c>
      <c r="G11" s="340"/>
      <c r="H11" s="340">
        <v>2587.4299999999998</v>
      </c>
      <c r="I11" s="340">
        <v>2587.4299999999998</v>
      </c>
      <c r="J11" s="340">
        <v>42215.47</v>
      </c>
      <c r="K11" s="340">
        <v>11697.8624</v>
      </c>
      <c r="L11" s="364">
        <v>0</v>
      </c>
      <c r="M11" s="80" t="s">
        <v>387</v>
      </c>
      <c r="N11" s="80" t="s">
        <v>365</v>
      </c>
      <c r="O11" s="164">
        <v>38299</v>
      </c>
      <c r="P11" s="258"/>
      <c r="Q11" s="80">
        <v>1734</v>
      </c>
      <c r="R11" s="80">
        <v>100</v>
      </c>
      <c r="S11" s="164"/>
      <c r="T11" s="258" t="s">
        <v>486</v>
      </c>
      <c r="U11" s="258">
        <v>2</v>
      </c>
      <c r="V11" s="203"/>
      <c r="W11" s="261"/>
      <c r="X11" s="261"/>
      <c r="Y11" s="261"/>
      <c r="Z11" s="261"/>
      <c r="AA11" s="261"/>
      <c r="AB11" s="261"/>
    </row>
    <row r="12" spans="2:28" ht="48" x14ac:dyDescent="0.35">
      <c r="B12" s="11"/>
      <c r="C12" s="203" t="s">
        <v>485</v>
      </c>
      <c r="D12" s="340">
        <v>33931.24</v>
      </c>
      <c r="E12" s="340">
        <v>3154.3599999999997</v>
      </c>
      <c r="F12" s="340">
        <v>20358.519999999997</v>
      </c>
      <c r="G12" s="340"/>
      <c r="H12" s="340">
        <v>3854.14</v>
      </c>
      <c r="I12" s="340">
        <v>3854.14</v>
      </c>
      <c r="J12" s="340">
        <v>57444.119999999995</v>
      </c>
      <c r="K12" s="340">
        <v>17372.7232</v>
      </c>
      <c r="L12" s="364">
        <v>1900</v>
      </c>
      <c r="M12" s="80" t="s">
        <v>387</v>
      </c>
      <c r="N12" s="80" t="s">
        <v>365</v>
      </c>
      <c r="O12" s="164">
        <v>35789</v>
      </c>
      <c r="P12" s="258"/>
      <c r="Q12" s="80">
        <v>1734</v>
      </c>
      <c r="R12" s="80">
        <v>100</v>
      </c>
      <c r="S12" s="164"/>
      <c r="T12" s="258" t="s">
        <v>491</v>
      </c>
      <c r="U12" s="258">
        <v>1</v>
      </c>
      <c r="V12" s="203"/>
      <c r="W12" s="261"/>
      <c r="X12" s="261"/>
      <c r="Y12" s="261"/>
      <c r="Z12" s="261"/>
      <c r="AA12" s="261"/>
      <c r="AB12" s="261"/>
    </row>
    <row r="13" spans="2:28" ht="48" x14ac:dyDescent="0.35">
      <c r="B13" s="11"/>
      <c r="C13" s="203" t="s">
        <v>485</v>
      </c>
      <c r="D13" s="340">
        <v>22864.799999999999</v>
      </c>
      <c r="E13" s="340">
        <v>4992.37</v>
      </c>
      <c r="F13" s="340">
        <v>386.82000000000335</v>
      </c>
      <c r="G13" s="340"/>
      <c r="H13" s="340">
        <v>1637.1299999999999</v>
      </c>
      <c r="I13" s="340">
        <v>1637.1299999999999</v>
      </c>
      <c r="J13" s="340">
        <v>28243.99</v>
      </c>
      <c r="K13" s="340">
        <v>7440.5184000000008</v>
      </c>
      <c r="L13" s="364">
        <v>0</v>
      </c>
      <c r="M13" s="80" t="s">
        <v>387</v>
      </c>
      <c r="N13" s="80" t="s">
        <v>365</v>
      </c>
      <c r="O13" s="164">
        <v>39211</v>
      </c>
      <c r="P13" s="258"/>
      <c r="Q13" s="80">
        <v>1734</v>
      </c>
      <c r="R13" s="80">
        <v>100</v>
      </c>
      <c r="S13" s="164"/>
      <c r="T13" s="258" t="s">
        <v>487</v>
      </c>
      <c r="U13" s="258">
        <v>4</v>
      </c>
      <c r="V13" s="203"/>
      <c r="W13" s="261"/>
      <c r="X13" s="261"/>
      <c r="Y13" s="261"/>
      <c r="Z13" s="261"/>
      <c r="AA13" s="261"/>
      <c r="AB13" s="261"/>
    </row>
    <row r="14" spans="2:28" ht="48" x14ac:dyDescent="0.35">
      <c r="B14" s="11"/>
      <c r="C14" s="203" t="s">
        <v>485</v>
      </c>
      <c r="D14" s="340">
        <v>29920.42</v>
      </c>
      <c r="E14" s="340">
        <v>2553.44</v>
      </c>
      <c r="F14" s="340">
        <v>6628.4400000000023</v>
      </c>
      <c r="G14" s="340"/>
      <c r="H14" s="340">
        <v>2576.81</v>
      </c>
      <c r="I14" s="340">
        <v>2576.81</v>
      </c>
      <c r="J14" s="340">
        <v>39102.300000000003</v>
      </c>
      <c r="K14" s="340">
        <v>11695.635200000001</v>
      </c>
      <c r="L14" s="364">
        <v>0</v>
      </c>
      <c r="M14" s="80" t="s">
        <v>387</v>
      </c>
      <c r="N14" s="80" t="s">
        <v>365</v>
      </c>
      <c r="O14" s="164">
        <v>39225</v>
      </c>
      <c r="P14" s="258"/>
      <c r="Q14" s="80">
        <v>1734</v>
      </c>
      <c r="R14" s="80">
        <v>100</v>
      </c>
      <c r="S14" s="164"/>
      <c r="T14" s="258" t="s">
        <v>486</v>
      </c>
      <c r="U14" s="258">
        <v>2</v>
      </c>
      <c r="V14" s="203"/>
      <c r="W14" s="261"/>
      <c r="X14" s="261"/>
      <c r="Y14" s="261"/>
      <c r="Z14" s="261"/>
      <c r="AA14" s="261"/>
      <c r="AB14" s="261"/>
    </row>
    <row r="15" spans="2:28" ht="48" x14ac:dyDescent="0.35">
      <c r="B15" s="11"/>
      <c r="C15" s="203" t="s">
        <v>485</v>
      </c>
      <c r="D15" s="340">
        <v>22858.82</v>
      </c>
      <c r="E15" s="340">
        <v>5310.94</v>
      </c>
      <c r="F15" s="340">
        <v>386.81999999999971</v>
      </c>
      <c r="G15" s="340"/>
      <c r="H15" s="340">
        <v>1626.5800000000002</v>
      </c>
      <c r="I15" s="340">
        <v>1626.5800000000002</v>
      </c>
      <c r="J15" s="340">
        <v>28556.579999999998</v>
      </c>
      <c r="K15" s="340">
        <v>7438.6048000000001</v>
      </c>
      <c r="L15" s="364">
        <v>0</v>
      </c>
      <c r="M15" s="80" t="s">
        <v>390</v>
      </c>
      <c r="N15" s="80" t="s">
        <v>365</v>
      </c>
      <c r="O15" s="164">
        <v>39873</v>
      </c>
      <c r="P15" s="258"/>
      <c r="Q15" s="80">
        <v>1734</v>
      </c>
      <c r="R15" s="80">
        <v>100</v>
      </c>
      <c r="S15" s="164"/>
      <c r="T15" s="258" t="s">
        <v>487</v>
      </c>
      <c r="U15" s="258">
        <v>4</v>
      </c>
      <c r="V15" s="203"/>
      <c r="W15" s="261"/>
      <c r="X15" s="261"/>
      <c r="Y15" s="261"/>
      <c r="Z15" s="261"/>
      <c r="AA15" s="261"/>
      <c r="AB15" s="261"/>
    </row>
    <row r="16" spans="2:28" ht="48" x14ac:dyDescent="0.35">
      <c r="B16" s="11"/>
      <c r="C16" s="203" t="s">
        <v>485</v>
      </c>
      <c r="D16" s="340">
        <v>12789.66</v>
      </c>
      <c r="E16" s="340">
        <v>523.29999999999995</v>
      </c>
      <c r="F16" s="340">
        <v>2651.3199999999997</v>
      </c>
      <c r="G16" s="340"/>
      <c r="H16" s="340">
        <v>1032.83</v>
      </c>
      <c r="I16" s="340">
        <v>1032.83</v>
      </c>
      <c r="J16" s="340">
        <v>15964.279999999999</v>
      </c>
      <c r="K16" s="340">
        <v>4941.1135999999997</v>
      </c>
      <c r="L16" s="364">
        <v>0</v>
      </c>
      <c r="M16" s="80" t="s">
        <v>387</v>
      </c>
      <c r="N16" s="80" t="s">
        <v>365</v>
      </c>
      <c r="O16" s="164">
        <v>38750</v>
      </c>
      <c r="P16" s="258"/>
      <c r="Q16" s="80">
        <v>1734</v>
      </c>
      <c r="R16" s="80">
        <v>40</v>
      </c>
      <c r="S16" s="164"/>
      <c r="T16" s="258" t="s">
        <v>486</v>
      </c>
      <c r="U16" s="258">
        <v>2</v>
      </c>
      <c r="V16" s="203"/>
      <c r="W16" s="261"/>
      <c r="X16" s="261"/>
      <c r="Y16" s="261"/>
      <c r="Z16" s="261"/>
      <c r="AA16" s="261"/>
      <c r="AB16" s="261"/>
    </row>
    <row r="17" spans="2:28" ht="48" x14ac:dyDescent="0.35">
      <c r="B17" s="11"/>
      <c r="C17" s="203" t="s">
        <v>485</v>
      </c>
      <c r="D17" s="340">
        <v>16279.76</v>
      </c>
      <c r="E17" s="340">
        <v>1666.03</v>
      </c>
      <c r="F17" s="340">
        <v>10179.26</v>
      </c>
      <c r="G17" s="340"/>
      <c r="H17" s="340">
        <v>1889.93</v>
      </c>
      <c r="I17" s="340">
        <v>1889.93</v>
      </c>
      <c r="J17" s="340">
        <v>28125.05</v>
      </c>
      <c r="K17" s="340">
        <v>8466.8863999999994</v>
      </c>
      <c r="L17" s="364">
        <v>950</v>
      </c>
      <c r="M17" s="80" t="s">
        <v>497</v>
      </c>
      <c r="N17" s="80" t="s">
        <v>365</v>
      </c>
      <c r="O17" s="164">
        <v>40913</v>
      </c>
      <c r="P17" s="258"/>
      <c r="Q17" s="80">
        <v>1734</v>
      </c>
      <c r="R17" s="80">
        <v>50</v>
      </c>
      <c r="S17" s="164"/>
      <c r="T17" s="258" t="s">
        <v>491</v>
      </c>
      <c r="U17" s="258">
        <v>1</v>
      </c>
      <c r="V17" s="203"/>
      <c r="W17" s="261"/>
      <c r="X17" s="261"/>
      <c r="Y17" s="261"/>
      <c r="Z17" s="261"/>
      <c r="AA17" s="261"/>
      <c r="AB17" s="261"/>
    </row>
    <row r="18" spans="2:28" ht="48" x14ac:dyDescent="0.35">
      <c r="B18" s="11"/>
      <c r="C18" s="203" t="s">
        <v>485</v>
      </c>
      <c r="D18" s="340">
        <v>29293.079999999998</v>
      </c>
      <c r="E18" s="340">
        <v>1616.6</v>
      </c>
      <c r="F18" s="340">
        <v>6628.4399999999987</v>
      </c>
      <c r="G18" s="340"/>
      <c r="H18" s="340">
        <v>2555.6999999999998</v>
      </c>
      <c r="I18" s="340">
        <v>2555.6999999999998</v>
      </c>
      <c r="J18" s="340">
        <v>37538.119999999995</v>
      </c>
      <c r="K18" s="340">
        <v>11494.886399999999</v>
      </c>
      <c r="L18" s="364">
        <v>0</v>
      </c>
      <c r="M18" s="80" t="s">
        <v>387</v>
      </c>
      <c r="N18" s="80" t="s">
        <v>365</v>
      </c>
      <c r="O18" s="164">
        <v>40301</v>
      </c>
      <c r="P18" s="258"/>
      <c r="Q18" s="80">
        <v>1734</v>
      </c>
      <c r="R18" s="80">
        <v>100</v>
      </c>
      <c r="S18" s="164"/>
      <c r="T18" s="258" t="s">
        <v>486</v>
      </c>
      <c r="U18" s="258">
        <v>2</v>
      </c>
      <c r="V18" s="203"/>
      <c r="W18" s="261"/>
      <c r="X18" s="261"/>
      <c r="Y18" s="261"/>
      <c r="Z18" s="261"/>
      <c r="AA18" s="261"/>
      <c r="AB18" s="261"/>
    </row>
    <row r="19" spans="2:28" ht="48" x14ac:dyDescent="0.35">
      <c r="B19" s="11"/>
      <c r="C19" s="203" t="s">
        <v>485</v>
      </c>
      <c r="D19" s="340">
        <v>29084.379999999997</v>
      </c>
      <c r="E19" s="340">
        <v>8115.06</v>
      </c>
      <c r="F19" s="340">
        <v>6628.4400000000023</v>
      </c>
      <c r="G19" s="340"/>
      <c r="H19" s="340">
        <v>2530.6699999999996</v>
      </c>
      <c r="I19" s="340">
        <v>2530.6699999999996</v>
      </c>
      <c r="J19" s="340">
        <v>43827.88</v>
      </c>
      <c r="K19" s="340">
        <v>11428.1024</v>
      </c>
      <c r="L19" s="364">
        <v>0</v>
      </c>
      <c r="M19" s="80" t="s">
        <v>387</v>
      </c>
      <c r="N19" s="80" t="s">
        <v>365</v>
      </c>
      <c r="O19" s="164">
        <v>42089</v>
      </c>
      <c r="P19" s="258"/>
      <c r="Q19" s="80">
        <v>1734</v>
      </c>
      <c r="R19" s="80">
        <v>100</v>
      </c>
      <c r="S19" s="164"/>
      <c r="T19" s="258" t="s">
        <v>486</v>
      </c>
      <c r="U19" s="258">
        <v>2</v>
      </c>
      <c r="V19" s="203"/>
      <c r="W19" s="261"/>
      <c r="X19" s="261"/>
      <c r="Y19" s="261"/>
      <c r="Z19" s="261"/>
      <c r="AA19" s="261"/>
      <c r="AB19" s="261"/>
    </row>
    <row r="20" spans="2:28" ht="48" x14ac:dyDescent="0.35">
      <c r="B20" s="11"/>
      <c r="C20" s="203" t="s">
        <v>485</v>
      </c>
      <c r="D20" s="340">
        <v>22490.02</v>
      </c>
      <c r="E20" s="340">
        <v>4422.2400000000007</v>
      </c>
      <c r="F20" s="340">
        <v>386.81999999999971</v>
      </c>
      <c r="G20" s="340"/>
      <c r="H20" s="340">
        <v>1610.3600000000001</v>
      </c>
      <c r="I20" s="340">
        <v>1610.3600000000001</v>
      </c>
      <c r="J20" s="340">
        <v>27299.08</v>
      </c>
      <c r="K20" s="340">
        <v>7320.5888000000004</v>
      </c>
      <c r="L20" s="364">
        <v>0</v>
      </c>
      <c r="M20" s="80" t="s">
        <v>387</v>
      </c>
      <c r="N20" s="80" t="s">
        <v>365</v>
      </c>
      <c r="O20" s="164">
        <v>40955</v>
      </c>
      <c r="P20" s="258"/>
      <c r="Q20" s="80">
        <v>1734</v>
      </c>
      <c r="R20" s="80">
        <v>100</v>
      </c>
      <c r="S20" s="164"/>
      <c r="T20" s="258" t="s">
        <v>487</v>
      </c>
      <c r="U20" s="258">
        <v>4</v>
      </c>
      <c r="V20" s="203"/>
      <c r="W20" s="261"/>
      <c r="X20" s="261"/>
      <c r="Y20" s="261"/>
      <c r="Z20" s="261"/>
      <c r="AA20" s="261"/>
      <c r="AB20" s="261"/>
    </row>
    <row r="21" spans="2:28" ht="48" x14ac:dyDescent="0.35">
      <c r="B21" s="11"/>
      <c r="C21" s="203" t="s">
        <v>485</v>
      </c>
      <c r="D21" s="340">
        <v>29624.879999999997</v>
      </c>
      <c r="E21" s="340">
        <v>2025.34</v>
      </c>
      <c r="F21" s="340">
        <v>6628.4400000000023</v>
      </c>
      <c r="G21" s="340"/>
      <c r="H21" s="340">
        <v>2555.6999999999998</v>
      </c>
      <c r="I21" s="340">
        <v>2555.6999999999998</v>
      </c>
      <c r="J21" s="340">
        <v>38278.659999999996</v>
      </c>
      <c r="K21" s="340">
        <v>11601.062400000001</v>
      </c>
      <c r="L21" s="364">
        <v>0</v>
      </c>
      <c r="M21" s="80" t="s">
        <v>390</v>
      </c>
      <c r="N21" s="80" t="s">
        <v>365</v>
      </c>
      <c r="O21" s="164">
        <v>40658</v>
      </c>
      <c r="P21" s="258"/>
      <c r="Q21" s="80">
        <v>1734</v>
      </c>
      <c r="R21" s="80">
        <v>100</v>
      </c>
      <c r="S21" s="164"/>
      <c r="T21" s="258" t="s">
        <v>486</v>
      </c>
      <c r="U21" s="258">
        <v>2</v>
      </c>
      <c r="V21" s="203"/>
      <c r="W21" s="261"/>
      <c r="X21" s="261"/>
      <c r="Y21" s="261"/>
      <c r="Z21" s="261"/>
      <c r="AA21" s="261"/>
      <c r="AB21" s="261"/>
    </row>
    <row r="22" spans="2:28" ht="48" x14ac:dyDescent="0.35">
      <c r="B22" s="11"/>
      <c r="C22" s="203" t="s">
        <v>485</v>
      </c>
      <c r="D22" s="340">
        <v>16554.439999999999</v>
      </c>
      <c r="E22" s="340">
        <v>4226.41</v>
      </c>
      <c r="F22" s="340">
        <v>290.08000000000175</v>
      </c>
      <c r="G22" s="340"/>
      <c r="H22" s="340">
        <v>1203.18</v>
      </c>
      <c r="I22" s="340">
        <v>1203.18</v>
      </c>
      <c r="J22" s="340">
        <v>21070.93</v>
      </c>
      <c r="K22" s="340">
        <v>5390.2464</v>
      </c>
      <c r="L22" s="367">
        <v>0</v>
      </c>
      <c r="M22" s="340" t="s">
        <v>391</v>
      </c>
      <c r="N22" s="80" t="s">
        <v>365</v>
      </c>
      <c r="O22" s="164">
        <v>41275</v>
      </c>
      <c r="P22" s="258"/>
      <c r="Q22" s="80">
        <v>1734</v>
      </c>
      <c r="R22" s="80">
        <v>75</v>
      </c>
      <c r="S22" s="164"/>
      <c r="T22" s="258" t="s">
        <v>487</v>
      </c>
      <c r="U22" s="258">
        <v>4</v>
      </c>
      <c r="V22" s="368"/>
      <c r="W22" s="261"/>
      <c r="X22" s="261"/>
      <c r="Y22" s="261"/>
      <c r="Z22" s="261"/>
      <c r="AA22" s="261"/>
      <c r="AB22" s="261"/>
    </row>
    <row r="23" spans="2:28" ht="48" x14ac:dyDescent="0.35">
      <c r="B23" s="11"/>
      <c r="C23" s="203" t="s">
        <v>485</v>
      </c>
      <c r="D23" s="340">
        <v>16486.68</v>
      </c>
      <c r="E23" s="340">
        <v>6272.1100000000006</v>
      </c>
      <c r="F23" s="340">
        <v>290.07999999999811</v>
      </c>
      <c r="G23" s="340"/>
      <c r="H23" s="340">
        <v>1198.3399999999999</v>
      </c>
      <c r="I23" s="340">
        <v>1198.3399999999999</v>
      </c>
      <c r="J23" s="340">
        <v>23048.87</v>
      </c>
      <c r="K23" s="340">
        <v>5368.5631999999996</v>
      </c>
      <c r="L23" s="367">
        <v>0</v>
      </c>
      <c r="M23" s="340" t="s">
        <v>391</v>
      </c>
      <c r="N23" s="80" t="s">
        <v>365</v>
      </c>
      <c r="O23" s="164">
        <v>41791</v>
      </c>
      <c r="P23" s="258"/>
      <c r="Q23" s="80">
        <v>1734</v>
      </c>
      <c r="R23" s="80">
        <v>75</v>
      </c>
      <c r="S23" s="164"/>
      <c r="T23" s="258" t="s">
        <v>487</v>
      </c>
      <c r="U23" s="258">
        <v>4</v>
      </c>
      <c r="V23" s="368"/>
      <c r="W23" s="261"/>
      <c r="X23" s="261"/>
      <c r="Y23" s="261"/>
      <c r="Z23" s="261"/>
      <c r="AA23" s="261"/>
      <c r="AB23" s="261"/>
    </row>
    <row r="24" spans="2:28" ht="48" x14ac:dyDescent="0.35">
      <c r="B24" s="11"/>
      <c r="C24" s="203" t="s">
        <v>485</v>
      </c>
      <c r="D24" s="340">
        <v>9526.119999999999</v>
      </c>
      <c r="E24" s="340">
        <v>3892.67</v>
      </c>
      <c r="F24" s="340">
        <v>1988.5600000000013</v>
      </c>
      <c r="G24" s="340"/>
      <c r="H24" s="340">
        <v>752.38</v>
      </c>
      <c r="I24" s="340">
        <v>752.38</v>
      </c>
      <c r="J24" s="340">
        <v>15407.35</v>
      </c>
      <c r="K24" s="340">
        <v>3684.6976</v>
      </c>
      <c r="L24" s="367">
        <v>0</v>
      </c>
      <c r="M24" s="340" t="s">
        <v>497</v>
      </c>
      <c r="N24" s="80" t="s">
        <v>365</v>
      </c>
      <c r="O24" s="164">
        <v>43115</v>
      </c>
      <c r="P24" s="378"/>
      <c r="Q24" s="80">
        <v>1734</v>
      </c>
      <c r="R24" s="80">
        <v>30</v>
      </c>
      <c r="S24" s="164"/>
      <c r="T24" s="258" t="s">
        <v>486</v>
      </c>
      <c r="U24" s="258">
        <v>2</v>
      </c>
      <c r="V24" s="368"/>
      <c r="W24" s="261"/>
      <c r="X24" s="261"/>
      <c r="Y24" s="261"/>
      <c r="Z24" s="261"/>
      <c r="AA24" s="261"/>
      <c r="AB24" s="261"/>
    </row>
    <row r="25" spans="2:28" ht="48" x14ac:dyDescent="0.35">
      <c r="B25" s="11"/>
      <c r="C25" s="203" t="s">
        <v>485</v>
      </c>
      <c r="D25" s="340">
        <v>15769.78</v>
      </c>
      <c r="E25" s="340">
        <v>7024.78</v>
      </c>
      <c r="F25" s="340">
        <v>286.44000000000051</v>
      </c>
      <c r="G25" s="340"/>
      <c r="H25" s="340">
        <v>1136.75</v>
      </c>
      <c r="I25" s="340">
        <v>1136.75</v>
      </c>
      <c r="J25" s="340">
        <v>23081</v>
      </c>
      <c r="K25" s="340">
        <v>5137.9904000000006</v>
      </c>
      <c r="L25" s="367">
        <v>0</v>
      </c>
      <c r="M25" s="340" t="s">
        <v>391</v>
      </c>
      <c r="N25" s="80" t="s">
        <v>365</v>
      </c>
      <c r="O25" s="164">
        <v>43922</v>
      </c>
      <c r="P25" s="378"/>
      <c r="Q25" s="80">
        <v>1734</v>
      </c>
      <c r="R25" s="80">
        <v>75</v>
      </c>
      <c r="S25" s="164"/>
      <c r="T25" s="258" t="s">
        <v>495</v>
      </c>
      <c r="U25" s="258">
        <v>4</v>
      </c>
      <c r="V25" s="368"/>
      <c r="W25" s="261"/>
      <c r="X25" s="261"/>
      <c r="Y25" s="261"/>
      <c r="Z25" s="261"/>
      <c r="AA25" s="261"/>
      <c r="AB25" s="261"/>
    </row>
    <row r="26" spans="2:28" ht="48" x14ac:dyDescent="0.35">
      <c r="B26" s="11"/>
      <c r="C26" s="203" t="s">
        <v>485</v>
      </c>
      <c r="D26" s="340">
        <v>23449.86</v>
      </c>
      <c r="E26" s="340">
        <v>1797.55</v>
      </c>
      <c r="F26" s="340">
        <v>5634.1599999999962</v>
      </c>
      <c r="G26" s="340"/>
      <c r="H26" s="340">
        <v>2077.4299999999998</v>
      </c>
      <c r="I26" s="340">
        <v>2077.4299999999998</v>
      </c>
      <c r="J26" s="340">
        <v>30881.569999999996</v>
      </c>
      <c r="K26" s="340">
        <v>9306.8863999999994</v>
      </c>
      <c r="L26" s="367">
        <v>0</v>
      </c>
      <c r="M26" s="340" t="s">
        <v>391</v>
      </c>
      <c r="N26" s="80" t="s">
        <v>365</v>
      </c>
      <c r="O26" s="164">
        <v>43976</v>
      </c>
      <c r="P26" s="258"/>
      <c r="Q26" s="80">
        <v>1734</v>
      </c>
      <c r="R26" s="80">
        <v>85</v>
      </c>
      <c r="S26" s="164"/>
      <c r="T26" s="258" t="s">
        <v>496</v>
      </c>
      <c r="U26" s="258">
        <v>2</v>
      </c>
      <c r="V26" s="368"/>
      <c r="W26" s="261"/>
      <c r="X26" s="261"/>
      <c r="Y26" s="261"/>
      <c r="Z26" s="261"/>
      <c r="AA26" s="261"/>
      <c r="AB26" s="261"/>
    </row>
    <row r="27" spans="2:28" ht="48" x14ac:dyDescent="0.35">
      <c r="B27" s="11"/>
      <c r="C27" s="203" t="s">
        <v>485</v>
      </c>
      <c r="D27" s="340">
        <v>29031.52</v>
      </c>
      <c r="E27" s="340">
        <v>4398.32</v>
      </c>
      <c r="F27" s="340">
        <v>6628.4399999999987</v>
      </c>
      <c r="G27" s="340"/>
      <c r="H27" s="340">
        <v>2523.4399999999996</v>
      </c>
      <c r="I27" s="340">
        <v>2523.4399999999996</v>
      </c>
      <c r="J27" s="340">
        <v>40058.28</v>
      </c>
      <c r="K27" s="340">
        <v>11411.1872</v>
      </c>
      <c r="L27" s="367">
        <v>0</v>
      </c>
      <c r="M27" s="340" t="s">
        <v>387</v>
      </c>
      <c r="N27" s="80" t="s">
        <v>365</v>
      </c>
      <c r="O27" s="164">
        <v>42544</v>
      </c>
      <c r="P27" s="378"/>
      <c r="Q27" s="80">
        <v>1734</v>
      </c>
      <c r="R27" s="80">
        <v>100</v>
      </c>
      <c r="S27" s="164"/>
      <c r="T27" s="258" t="s">
        <v>486</v>
      </c>
      <c r="U27" s="258">
        <v>2</v>
      </c>
      <c r="V27" s="368"/>
      <c r="W27" s="261"/>
      <c r="X27" s="261"/>
      <c r="Y27" s="261"/>
      <c r="Z27" s="261"/>
      <c r="AA27" s="261"/>
      <c r="AB27" s="261"/>
    </row>
    <row r="28" spans="2:28" ht="48" x14ac:dyDescent="0.35">
      <c r="B28" s="11"/>
      <c r="C28" s="203" t="s">
        <v>485</v>
      </c>
      <c r="D28" s="340">
        <v>24398.959999999999</v>
      </c>
      <c r="E28" s="340">
        <v>1312.53</v>
      </c>
      <c r="F28" s="340">
        <v>5567.9400000000023</v>
      </c>
      <c r="G28" s="340"/>
      <c r="H28" s="340">
        <v>2106.6699999999996</v>
      </c>
      <c r="I28" s="340">
        <v>2106.6699999999996</v>
      </c>
      <c r="J28" s="340">
        <v>31279.43</v>
      </c>
      <c r="K28" s="340">
        <v>9589.4080000000013</v>
      </c>
      <c r="L28" s="367">
        <v>0</v>
      </c>
      <c r="M28" s="340" t="s">
        <v>387</v>
      </c>
      <c r="N28" s="80" t="s">
        <v>365</v>
      </c>
      <c r="O28" s="164">
        <v>43283</v>
      </c>
      <c r="P28" s="258"/>
      <c r="Q28" s="80">
        <v>1734</v>
      </c>
      <c r="R28" s="80">
        <v>84</v>
      </c>
      <c r="S28" s="164">
        <v>46134</v>
      </c>
      <c r="T28" s="258" t="s">
        <v>486</v>
      </c>
      <c r="U28" s="258">
        <v>2</v>
      </c>
      <c r="V28" s="368"/>
      <c r="W28" s="261"/>
      <c r="X28" s="261"/>
      <c r="Y28" s="261"/>
      <c r="Z28" s="261"/>
      <c r="AA28" s="261"/>
      <c r="AB28" s="261"/>
    </row>
    <row r="29" spans="2:28" ht="48" x14ac:dyDescent="0.35">
      <c r="B29" s="11"/>
      <c r="C29" s="203" t="s">
        <v>485</v>
      </c>
      <c r="D29" s="340">
        <v>27466.600000000002</v>
      </c>
      <c r="E29" s="340">
        <v>7026.3499999999995</v>
      </c>
      <c r="F29" s="340">
        <v>12628.439999999999</v>
      </c>
      <c r="G29" s="340"/>
      <c r="H29" s="340">
        <v>2435.36</v>
      </c>
      <c r="I29" s="340">
        <v>2435.36</v>
      </c>
      <c r="J29" s="340">
        <v>47121.39</v>
      </c>
      <c r="K29" s="340">
        <v>12830.4128</v>
      </c>
      <c r="L29" s="367">
        <v>4500</v>
      </c>
      <c r="M29" s="340" t="s">
        <v>387</v>
      </c>
      <c r="N29" s="80" t="s">
        <v>365</v>
      </c>
      <c r="O29" s="164">
        <v>44291</v>
      </c>
      <c r="P29" s="258"/>
      <c r="Q29" s="80">
        <v>1734</v>
      </c>
      <c r="R29" s="80">
        <v>100</v>
      </c>
      <c r="S29" s="164"/>
      <c r="T29" s="258" t="s">
        <v>496</v>
      </c>
      <c r="U29" s="258">
        <v>2</v>
      </c>
      <c r="V29" s="368"/>
      <c r="W29" s="261"/>
      <c r="X29" s="261"/>
      <c r="Y29" s="261"/>
      <c r="Z29" s="261"/>
      <c r="AA29" s="261"/>
      <c r="AB29" s="261"/>
    </row>
    <row r="30" spans="2:28" ht="48" x14ac:dyDescent="0.35">
      <c r="B30" s="11"/>
      <c r="C30" s="203" t="s">
        <v>485</v>
      </c>
      <c r="D30" s="340">
        <v>20837.32</v>
      </c>
      <c r="E30" s="340">
        <v>2317.41</v>
      </c>
      <c r="F30" s="340">
        <v>381.92000000000189</v>
      </c>
      <c r="G30" s="340"/>
      <c r="H30" s="340">
        <v>1515.66</v>
      </c>
      <c r="I30" s="340">
        <v>1515.66</v>
      </c>
      <c r="J30" s="340">
        <v>23536.65</v>
      </c>
      <c r="K30" s="340">
        <v>6790.1568000000007</v>
      </c>
      <c r="L30" s="367">
        <v>0</v>
      </c>
      <c r="M30" s="340" t="s">
        <v>387</v>
      </c>
      <c r="N30" s="80" t="s">
        <v>365</v>
      </c>
      <c r="O30" s="164">
        <v>43802</v>
      </c>
      <c r="P30" s="378"/>
      <c r="Q30" s="80">
        <v>1734</v>
      </c>
      <c r="R30" s="80">
        <v>100</v>
      </c>
      <c r="S30" s="164"/>
      <c r="T30" s="258" t="s">
        <v>495</v>
      </c>
      <c r="U30" s="258">
        <v>4</v>
      </c>
      <c r="V30" s="368"/>
      <c r="W30" s="261"/>
      <c r="X30" s="261"/>
      <c r="Y30" s="261"/>
      <c r="Z30" s="261"/>
      <c r="AA30" s="261"/>
      <c r="AB30" s="261"/>
    </row>
    <row r="31" spans="2:28" ht="48" x14ac:dyDescent="0.35">
      <c r="B31" s="11"/>
      <c r="C31" s="203" t="s">
        <v>485</v>
      </c>
      <c r="D31" s="340">
        <v>28041.58</v>
      </c>
      <c r="E31" s="340">
        <v>3034.82</v>
      </c>
      <c r="F31" s="340">
        <v>6628.4400000000023</v>
      </c>
      <c r="G31" s="340"/>
      <c r="H31" s="340">
        <v>2452.73</v>
      </c>
      <c r="I31" s="340">
        <v>2452.73</v>
      </c>
      <c r="J31" s="340">
        <v>37704.840000000004</v>
      </c>
      <c r="K31" s="340">
        <v>11094.406400000002</v>
      </c>
      <c r="L31" s="367">
        <v>0</v>
      </c>
      <c r="M31" s="340" t="s">
        <v>387</v>
      </c>
      <c r="N31" s="115" t="s">
        <v>365</v>
      </c>
      <c r="O31" s="164">
        <v>43605</v>
      </c>
      <c r="P31" s="258"/>
      <c r="Q31" s="80">
        <v>1734</v>
      </c>
      <c r="R31" s="80">
        <v>100</v>
      </c>
      <c r="S31" s="164"/>
      <c r="T31" s="258" t="s">
        <v>496</v>
      </c>
      <c r="U31" s="258">
        <v>2</v>
      </c>
      <c r="V31" s="368"/>
      <c r="W31" s="261"/>
      <c r="X31" s="261"/>
      <c r="Y31" s="261"/>
      <c r="Z31" s="261"/>
      <c r="AA31" s="261"/>
      <c r="AB31" s="261"/>
    </row>
    <row r="32" spans="2:28" ht="48" x14ac:dyDescent="0.35">
      <c r="B32" s="11"/>
      <c r="C32" s="203" t="s">
        <v>485</v>
      </c>
      <c r="D32" s="340">
        <v>31730.579999999998</v>
      </c>
      <c r="E32" s="340">
        <v>11258.910000000002</v>
      </c>
      <c r="F32" s="340">
        <v>34089.739999999991</v>
      </c>
      <c r="G32" s="340"/>
      <c r="H32" s="340">
        <v>4130.0199999999995</v>
      </c>
      <c r="I32" s="340">
        <v>4130.0199999999995</v>
      </c>
      <c r="J32" s="340">
        <v>77079.23</v>
      </c>
      <c r="K32" s="340">
        <v>18126.72</v>
      </c>
      <c r="L32" s="367">
        <v>5500</v>
      </c>
      <c r="M32" s="340" t="s">
        <v>390</v>
      </c>
      <c r="N32" s="80" t="s">
        <v>365</v>
      </c>
      <c r="O32" s="164">
        <v>43872</v>
      </c>
      <c r="P32" s="378"/>
      <c r="Q32" s="80">
        <v>1734</v>
      </c>
      <c r="R32" s="80">
        <v>100</v>
      </c>
      <c r="S32" s="164"/>
      <c r="T32" s="258" t="s">
        <v>493</v>
      </c>
      <c r="U32" s="258">
        <v>1</v>
      </c>
      <c r="V32" s="368"/>
      <c r="W32" s="261"/>
      <c r="X32" s="261"/>
      <c r="Y32" s="261"/>
      <c r="Z32" s="261"/>
      <c r="AA32" s="261"/>
      <c r="AB32" s="261"/>
    </row>
    <row r="33" spans="1:28" ht="48" x14ac:dyDescent="0.35">
      <c r="B33" s="11"/>
      <c r="C33" s="203" t="s">
        <v>485</v>
      </c>
      <c r="D33" s="340">
        <v>14125.86</v>
      </c>
      <c r="E33" s="340">
        <v>284.37</v>
      </c>
      <c r="F33" s="340">
        <v>3314.2200000000012</v>
      </c>
      <c r="G33" s="340"/>
      <c r="H33" s="340">
        <v>1222.02</v>
      </c>
      <c r="I33" s="340">
        <v>1222.02</v>
      </c>
      <c r="J33" s="340">
        <v>17724.45</v>
      </c>
      <c r="K33" s="340">
        <v>5580.825600000001</v>
      </c>
      <c r="L33" s="367">
        <v>0</v>
      </c>
      <c r="M33" s="340" t="s">
        <v>390</v>
      </c>
      <c r="N33" s="80" t="s">
        <v>365</v>
      </c>
      <c r="O33" s="164">
        <v>44007</v>
      </c>
      <c r="P33" s="258"/>
      <c r="Q33" s="80">
        <v>1734</v>
      </c>
      <c r="R33" s="80">
        <v>50</v>
      </c>
      <c r="S33" s="164">
        <v>49531</v>
      </c>
      <c r="T33" s="258" t="s">
        <v>496</v>
      </c>
      <c r="U33" s="258">
        <v>2</v>
      </c>
      <c r="V33" s="368"/>
      <c r="W33" s="261"/>
      <c r="X33" s="261"/>
      <c r="Y33" s="261"/>
      <c r="Z33" s="261"/>
      <c r="AA33" s="261"/>
      <c r="AB33" s="261"/>
    </row>
    <row r="34" spans="1:28" ht="48" x14ac:dyDescent="0.35">
      <c r="B34" s="11"/>
      <c r="C34" s="203" t="s">
        <v>485</v>
      </c>
      <c r="D34" s="340">
        <v>19866.14</v>
      </c>
      <c r="E34" s="340">
        <v>2236.6699999999996</v>
      </c>
      <c r="F34" s="340">
        <v>0</v>
      </c>
      <c r="G34" s="340"/>
      <c r="H34" s="340">
        <v>1419.01</v>
      </c>
      <c r="I34" s="340">
        <v>1419.01</v>
      </c>
      <c r="J34" s="340">
        <v>22102.809999999998</v>
      </c>
      <c r="K34" s="340">
        <v>6357.1647999999996</v>
      </c>
      <c r="L34" s="367">
        <v>0</v>
      </c>
      <c r="M34" s="340" t="s">
        <v>390</v>
      </c>
      <c r="N34" s="80" t="s">
        <v>365</v>
      </c>
      <c r="O34" s="164">
        <v>44627</v>
      </c>
      <c r="P34" s="378"/>
      <c r="Q34" s="80">
        <v>1734</v>
      </c>
      <c r="R34" s="80">
        <v>100</v>
      </c>
      <c r="S34" s="164"/>
      <c r="T34" s="258" t="s">
        <v>501</v>
      </c>
      <c r="U34" s="258">
        <v>9</v>
      </c>
      <c r="V34" s="368"/>
      <c r="W34" s="261"/>
      <c r="X34" s="261"/>
      <c r="Y34" s="261"/>
      <c r="Z34" s="261"/>
      <c r="AA34" s="261"/>
      <c r="AB34" s="261"/>
    </row>
    <row r="35" spans="1:28" ht="48" x14ac:dyDescent="0.35">
      <c r="B35" s="11"/>
      <c r="C35" s="203" t="s">
        <v>485</v>
      </c>
      <c r="D35" s="340">
        <v>17658.48</v>
      </c>
      <c r="E35" s="340">
        <v>2451.0299999999997</v>
      </c>
      <c r="F35" s="340">
        <v>0</v>
      </c>
      <c r="G35" s="340"/>
      <c r="H35" s="340">
        <v>1261.32</v>
      </c>
      <c r="I35" s="340">
        <v>1261.32</v>
      </c>
      <c r="J35" s="340">
        <v>20109.509999999998</v>
      </c>
      <c r="K35" s="340">
        <v>5650.7136</v>
      </c>
      <c r="L35" s="367">
        <v>0</v>
      </c>
      <c r="M35" s="340" t="s">
        <v>390</v>
      </c>
      <c r="N35" s="80" t="s">
        <v>365</v>
      </c>
      <c r="O35" s="164">
        <v>44636</v>
      </c>
      <c r="P35" s="258"/>
      <c r="Q35" s="80">
        <v>1734</v>
      </c>
      <c r="R35" s="80">
        <v>100</v>
      </c>
      <c r="S35" s="164"/>
      <c r="T35" s="258" t="s">
        <v>504</v>
      </c>
      <c r="U35" s="258">
        <v>5</v>
      </c>
      <c r="V35" s="368"/>
      <c r="W35" s="261"/>
      <c r="X35" s="261"/>
      <c r="Y35" s="261"/>
      <c r="Z35" s="261"/>
      <c r="AA35" s="261"/>
      <c r="AB35" s="261"/>
    </row>
    <row r="36" spans="1:28" ht="48" x14ac:dyDescent="0.35">
      <c r="B36" s="11"/>
      <c r="C36" s="203" t="s">
        <v>485</v>
      </c>
      <c r="D36" s="340">
        <v>27343.68</v>
      </c>
      <c r="E36" s="340">
        <v>2829.29</v>
      </c>
      <c r="F36" s="340">
        <v>6628.4400000000023</v>
      </c>
      <c r="G36" s="340"/>
      <c r="H36" s="340">
        <v>2426.5800000000004</v>
      </c>
      <c r="I36" s="340">
        <v>2426.5800000000004</v>
      </c>
      <c r="J36" s="340">
        <v>36801.410000000003</v>
      </c>
      <c r="K36" s="340">
        <v>10871.0784</v>
      </c>
      <c r="L36" s="367">
        <v>0</v>
      </c>
      <c r="M36" s="340" t="s">
        <v>387</v>
      </c>
      <c r="N36" s="80" t="s">
        <v>365</v>
      </c>
      <c r="O36" s="164">
        <v>44690</v>
      </c>
      <c r="P36" s="258"/>
      <c r="Q36" s="80">
        <v>1734</v>
      </c>
      <c r="R36" s="80">
        <v>100</v>
      </c>
      <c r="S36" s="164"/>
      <c r="T36" s="258" t="s">
        <v>496</v>
      </c>
      <c r="U36" s="258">
        <v>2</v>
      </c>
      <c r="V36" s="368"/>
      <c r="W36" s="261"/>
      <c r="X36" s="261"/>
      <c r="Y36" s="261"/>
      <c r="Z36" s="261"/>
      <c r="AA36" s="261"/>
      <c r="AB36" s="261"/>
    </row>
    <row r="37" spans="1:28" ht="48" x14ac:dyDescent="0.35">
      <c r="B37" s="11"/>
      <c r="C37" s="203" t="s">
        <v>485</v>
      </c>
      <c r="D37" s="340">
        <v>27343.68</v>
      </c>
      <c r="E37" s="340">
        <v>4847.75</v>
      </c>
      <c r="F37" s="340">
        <v>6628.4400000000023</v>
      </c>
      <c r="G37" s="340"/>
      <c r="H37" s="340">
        <v>2426.5800000000004</v>
      </c>
      <c r="I37" s="340">
        <v>2426.5800000000004</v>
      </c>
      <c r="J37" s="340">
        <v>38819.870000000003</v>
      </c>
      <c r="K37" s="340">
        <v>10871.0784</v>
      </c>
      <c r="L37" s="367">
        <v>0</v>
      </c>
      <c r="M37" s="340" t="s">
        <v>387</v>
      </c>
      <c r="N37" s="80" t="s">
        <v>365</v>
      </c>
      <c r="O37" s="164">
        <v>44714</v>
      </c>
      <c r="P37" s="258"/>
      <c r="Q37" s="80">
        <v>1734</v>
      </c>
      <c r="R37" s="80">
        <v>100</v>
      </c>
      <c r="S37" s="164"/>
      <c r="T37" s="258" t="s">
        <v>496</v>
      </c>
      <c r="U37" s="258">
        <v>2</v>
      </c>
      <c r="V37" s="368"/>
      <c r="W37" s="261"/>
      <c r="X37" s="261"/>
      <c r="Y37" s="261"/>
      <c r="Z37" s="261"/>
      <c r="AA37" s="261"/>
      <c r="AB37" s="261"/>
    </row>
    <row r="38" spans="1:28" ht="48" x14ac:dyDescent="0.35">
      <c r="B38" s="11"/>
      <c r="C38" s="203" t="s">
        <v>485</v>
      </c>
      <c r="D38" s="340">
        <v>20593.02</v>
      </c>
      <c r="E38" s="340">
        <v>3177.41</v>
      </c>
      <c r="F38" s="340">
        <v>381.92000000000189</v>
      </c>
      <c r="G38" s="340"/>
      <c r="H38" s="340">
        <v>1498.2100000000003</v>
      </c>
      <c r="I38" s="340">
        <v>1498.2100000000003</v>
      </c>
      <c r="J38" s="340">
        <v>24152.350000000002</v>
      </c>
      <c r="K38" s="340">
        <v>6711.9808000000012</v>
      </c>
      <c r="L38" s="367">
        <v>0</v>
      </c>
      <c r="M38" s="340" t="s">
        <v>390</v>
      </c>
      <c r="N38" s="80" t="s">
        <v>365</v>
      </c>
      <c r="O38" s="164">
        <v>44715</v>
      </c>
      <c r="P38" s="258"/>
      <c r="Q38" s="80">
        <v>1734</v>
      </c>
      <c r="R38" s="80">
        <v>100</v>
      </c>
      <c r="S38" s="164"/>
      <c r="T38" s="258" t="s">
        <v>495</v>
      </c>
      <c r="U38" s="258">
        <v>4</v>
      </c>
      <c r="V38" s="368"/>
      <c r="W38" s="261"/>
      <c r="X38" s="261"/>
      <c r="Y38" s="261"/>
      <c r="Z38" s="261"/>
      <c r="AA38" s="261"/>
      <c r="AB38" s="261"/>
    </row>
    <row r="39" spans="1:28" ht="48" x14ac:dyDescent="0.35">
      <c r="B39" s="11"/>
      <c r="C39" s="203" t="s">
        <v>485</v>
      </c>
      <c r="D39" s="340">
        <v>27485.4</v>
      </c>
      <c r="E39" s="340">
        <v>2690.1499999999996</v>
      </c>
      <c r="F39" s="340">
        <v>6628.4399999999951</v>
      </c>
      <c r="G39" s="340"/>
      <c r="H39" s="340">
        <v>2426.5800000000004</v>
      </c>
      <c r="I39" s="340">
        <v>2426.5800000000004</v>
      </c>
      <c r="J39" s="340">
        <v>36803.99</v>
      </c>
      <c r="K39" s="340">
        <v>10916.4288</v>
      </c>
      <c r="L39" s="367">
        <v>0</v>
      </c>
      <c r="M39" s="340" t="s">
        <v>387</v>
      </c>
      <c r="N39" s="80" t="s">
        <v>365</v>
      </c>
      <c r="O39" s="164">
        <v>44729</v>
      </c>
      <c r="P39" s="258"/>
      <c r="Q39" s="80">
        <v>1734</v>
      </c>
      <c r="R39" s="80">
        <v>100</v>
      </c>
      <c r="S39" s="164"/>
      <c r="T39" s="258" t="s">
        <v>496</v>
      </c>
      <c r="U39" s="258">
        <v>2</v>
      </c>
      <c r="V39" s="368"/>
      <c r="W39" s="261"/>
      <c r="X39" s="261"/>
      <c r="Y39" s="261"/>
      <c r="Z39" s="261"/>
      <c r="AA39" s="261"/>
      <c r="AB39" s="261"/>
    </row>
    <row r="40" spans="1:28" ht="48" x14ac:dyDescent="0.35">
      <c r="B40" s="11"/>
      <c r="C40" s="203" t="s">
        <v>485</v>
      </c>
      <c r="D40" s="340">
        <v>31242.12</v>
      </c>
      <c r="E40" s="340">
        <v>692.46</v>
      </c>
      <c r="F40" s="340">
        <v>26089.699999999993</v>
      </c>
      <c r="G40" s="340"/>
      <c r="H40" s="340">
        <v>4095.1299999999997</v>
      </c>
      <c r="I40" s="340">
        <v>4095.1299999999997</v>
      </c>
      <c r="J40" s="340">
        <v>58024.279999999992</v>
      </c>
      <c r="K40" s="340">
        <v>18126.72</v>
      </c>
      <c r="L40" s="367">
        <v>1900</v>
      </c>
      <c r="M40" s="340" t="s">
        <v>387</v>
      </c>
      <c r="N40" s="80" t="s">
        <v>365</v>
      </c>
      <c r="O40" s="164">
        <v>45306</v>
      </c>
      <c r="P40" s="258"/>
      <c r="Q40" s="80">
        <v>1734</v>
      </c>
      <c r="R40" s="80">
        <v>100</v>
      </c>
      <c r="S40" s="164"/>
      <c r="T40" s="258" t="s">
        <v>493</v>
      </c>
      <c r="U40" s="258">
        <v>1</v>
      </c>
      <c r="V40" s="368"/>
      <c r="W40" s="261"/>
      <c r="X40" s="261"/>
      <c r="Y40" s="261"/>
      <c r="Z40" s="261"/>
      <c r="AA40" s="261"/>
      <c r="AB40" s="261"/>
    </row>
    <row r="41" spans="1:28" ht="48" x14ac:dyDescent="0.35">
      <c r="B41" s="11"/>
      <c r="C41" s="203" t="s">
        <v>485</v>
      </c>
      <c r="D41" s="340">
        <v>20324.64</v>
      </c>
      <c r="E41" s="340">
        <v>461.12</v>
      </c>
      <c r="F41" s="340">
        <v>4971.4000000000015</v>
      </c>
      <c r="G41" s="340"/>
      <c r="H41" s="340">
        <v>1806.8600000000001</v>
      </c>
      <c r="I41" s="340">
        <v>1806.8600000000001</v>
      </c>
      <c r="J41" s="340">
        <v>25757.16</v>
      </c>
      <c r="K41" s="340">
        <v>8094.7328000000007</v>
      </c>
      <c r="L41" s="367">
        <v>0</v>
      </c>
      <c r="M41" s="340" t="s">
        <v>391</v>
      </c>
      <c r="N41" s="80" t="s">
        <v>365</v>
      </c>
      <c r="O41" s="164">
        <v>45323</v>
      </c>
      <c r="P41" s="258"/>
      <c r="Q41" s="80">
        <v>1734</v>
      </c>
      <c r="R41" s="80">
        <v>75</v>
      </c>
      <c r="S41" s="164"/>
      <c r="T41" s="258" t="s">
        <v>496</v>
      </c>
      <c r="U41" s="258">
        <v>2</v>
      </c>
      <c r="V41" s="368"/>
      <c r="W41" s="261"/>
      <c r="X41" s="261"/>
      <c r="Y41" s="261"/>
      <c r="Z41" s="261"/>
      <c r="AA41" s="261"/>
      <c r="AB41" s="261"/>
    </row>
    <row r="42" spans="1:28" ht="48" x14ac:dyDescent="0.35">
      <c r="B42" s="11"/>
      <c r="C42" s="203" t="s">
        <v>485</v>
      </c>
      <c r="D42" s="340">
        <v>24755.360000000001</v>
      </c>
      <c r="E42" s="340">
        <v>348.34000000000003</v>
      </c>
      <c r="F42" s="340">
        <v>6055.1399999999994</v>
      </c>
      <c r="G42" s="340"/>
      <c r="H42" s="340">
        <v>2200.75</v>
      </c>
      <c r="I42" s="340">
        <v>2200.75</v>
      </c>
      <c r="J42" s="340">
        <v>31158.84</v>
      </c>
      <c r="K42" s="340">
        <v>9859.36</v>
      </c>
      <c r="L42" s="367">
        <v>0</v>
      </c>
      <c r="M42" s="340" t="s">
        <v>391</v>
      </c>
      <c r="N42" s="80" t="s">
        <v>365</v>
      </c>
      <c r="O42" s="164">
        <v>45384</v>
      </c>
      <c r="P42" s="258"/>
      <c r="Q42" s="80">
        <v>1734</v>
      </c>
      <c r="R42" s="80">
        <v>91.35</v>
      </c>
      <c r="S42" s="164"/>
      <c r="T42" s="258" t="s">
        <v>496</v>
      </c>
      <c r="U42" s="258">
        <v>2</v>
      </c>
      <c r="V42" s="368"/>
      <c r="W42" s="261"/>
      <c r="X42" s="261"/>
      <c r="Y42" s="261"/>
      <c r="Z42" s="261"/>
      <c r="AA42" s="261"/>
      <c r="AB42" s="261"/>
    </row>
    <row r="43" spans="1:28" ht="48" x14ac:dyDescent="0.35">
      <c r="B43" s="11"/>
      <c r="C43" s="203" t="s">
        <v>485</v>
      </c>
      <c r="D43" s="340">
        <v>27099.52</v>
      </c>
      <c r="E43" s="340">
        <v>25</v>
      </c>
      <c r="F43" s="340">
        <v>6628.4399999999987</v>
      </c>
      <c r="G43" s="340"/>
      <c r="H43" s="340">
        <v>2409.14</v>
      </c>
      <c r="I43" s="340">
        <v>2409.14</v>
      </c>
      <c r="J43" s="340">
        <v>33752.959999999999</v>
      </c>
      <c r="K43" s="340">
        <v>10792.947200000001</v>
      </c>
      <c r="L43" s="367">
        <v>0</v>
      </c>
      <c r="M43" s="340" t="s">
        <v>387</v>
      </c>
      <c r="N43" s="80" t="s">
        <v>365</v>
      </c>
      <c r="O43" s="164">
        <v>45397</v>
      </c>
      <c r="P43" s="258"/>
      <c r="Q43" s="80">
        <v>1734</v>
      </c>
      <c r="R43" s="80">
        <v>100</v>
      </c>
      <c r="S43" s="164"/>
      <c r="T43" s="258" t="s">
        <v>496</v>
      </c>
      <c r="U43" s="258">
        <v>2</v>
      </c>
      <c r="V43" s="368"/>
      <c r="W43" s="261"/>
      <c r="X43" s="261"/>
      <c r="Y43" s="261"/>
      <c r="Z43" s="261"/>
      <c r="AA43" s="261"/>
      <c r="AB43" s="261"/>
    </row>
    <row r="44" spans="1:28" ht="48" x14ac:dyDescent="0.35">
      <c r="B44" s="11"/>
      <c r="C44" s="203" t="s">
        <v>485</v>
      </c>
      <c r="D44" s="340">
        <v>8165.3600000000006</v>
      </c>
      <c r="E44" s="340">
        <v>58.68</v>
      </c>
      <c r="F44" s="340">
        <v>1988.5599999999995</v>
      </c>
      <c r="G44" s="340"/>
      <c r="H44" s="340">
        <v>725.28</v>
      </c>
      <c r="I44" s="340">
        <v>725.28</v>
      </c>
      <c r="J44" s="340">
        <v>10212.6</v>
      </c>
      <c r="K44" s="340">
        <v>3249.2544000000003</v>
      </c>
      <c r="L44" s="367">
        <v>0</v>
      </c>
      <c r="M44" s="340" t="s">
        <v>497</v>
      </c>
      <c r="N44" s="80" t="s">
        <v>365</v>
      </c>
      <c r="O44" s="164">
        <v>43993</v>
      </c>
      <c r="P44" s="258"/>
      <c r="Q44" s="80">
        <v>1734</v>
      </c>
      <c r="R44" s="80">
        <v>30</v>
      </c>
      <c r="S44" s="164"/>
      <c r="T44" s="258" t="s">
        <v>496</v>
      </c>
      <c r="U44" s="258">
        <v>2</v>
      </c>
      <c r="V44" s="368"/>
      <c r="W44" s="261"/>
      <c r="X44" s="261"/>
      <c r="Y44" s="261"/>
      <c r="Z44" s="261"/>
      <c r="AA44" s="261"/>
      <c r="AB44" s="261"/>
    </row>
    <row r="45" spans="1:28" ht="48" x14ac:dyDescent="0.35">
      <c r="B45" s="11"/>
      <c r="C45" s="203" t="s">
        <v>485</v>
      </c>
      <c r="D45" s="340">
        <v>27099.52</v>
      </c>
      <c r="E45" s="340">
        <v>0</v>
      </c>
      <c r="F45" s="340">
        <v>6628.4399999999987</v>
      </c>
      <c r="G45" s="340"/>
      <c r="H45" s="340">
        <v>2409.14</v>
      </c>
      <c r="I45" s="340">
        <v>2409.14</v>
      </c>
      <c r="J45" s="340">
        <v>33727.96</v>
      </c>
      <c r="K45" s="340">
        <v>10792.947200000001</v>
      </c>
      <c r="L45" s="367">
        <v>0</v>
      </c>
      <c r="M45" s="340" t="s">
        <v>387</v>
      </c>
      <c r="N45" s="203" t="s">
        <v>365</v>
      </c>
      <c r="O45" s="164">
        <v>45447</v>
      </c>
      <c r="P45" s="203"/>
      <c r="Q45" s="203">
        <v>1734</v>
      </c>
      <c r="R45" s="203">
        <v>100</v>
      </c>
      <c r="S45" s="164"/>
      <c r="T45" s="203" t="s">
        <v>496</v>
      </c>
      <c r="U45" s="203">
        <v>2</v>
      </c>
      <c r="V45" s="368"/>
      <c r="W45" s="261"/>
      <c r="X45" s="261"/>
      <c r="Y45" s="261"/>
      <c r="Z45" s="261"/>
      <c r="AA45" s="261"/>
      <c r="AB45" s="261"/>
    </row>
    <row r="46" spans="1:28" s="208" customFormat="1" ht="48" x14ac:dyDescent="0.35">
      <c r="A46" s="354"/>
      <c r="B46" s="154"/>
      <c r="C46" s="207" t="s">
        <v>485</v>
      </c>
      <c r="D46" s="250">
        <v>20730.78</v>
      </c>
      <c r="E46" s="250">
        <v>0</v>
      </c>
      <c r="F46" s="250">
        <v>0</v>
      </c>
      <c r="G46" s="250"/>
      <c r="H46" s="250">
        <v>1453.49</v>
      </c>
      <c r="I46" s="250">
        <v>1453.49</v>
      </c>
      <c r="J46" s="250">
        <v>20730.78</v>
      </c>
      <c r="K46" s="250">
        <v>6633.8495999999996</v>
      </c>
      <c r="L46" s="351">
        <v>0</v>
      </c>
      <c r="M46" s="250"/>
      <c r="N46" s="235" t="s">
        <v>365</v>
      </c>
      <c r="O46" s="211">
        <v>45490</v>
      </c>
      <c r="P46" s="238"/>
      <c r="Q46" s="235">
        <v>1734</v>
      </c>
      <c r="R46" s="235">
        <v>100</v>
      </c>
      <c r="S46" s="235"/>
      <c r="T46" s="251" t="s">
        <v>495</v>
      </c>
      <c r="U46" s="251">
        <v>4</v>
      </c>
      <c r="V46" s="353"/>
      <c r="W46" s="242"/>
      <c r="X46" s="242"/>
      <c r="Y46" s="242"/>
      <c r="Z46" s="242"/>
      <c r="AA46" s="242"/>
      <c r="AB46" s="242"/>
    </row>
    <row r="47" spans="1:28" s="126" customFormat="1" ht="102" customHeight="1" x14ac:dyDescent="0.35">
      <c r="B47" s="197" t="s">
        <v>550</v>
      </c>
      <c r="C47" s="207" t="s">
        <v>485</v>
      </c>
      <c r="D47" s="250">
        <f>(1/7)*22762.92</f>
        <v>3251.8457142857137</v>
      </c>
      <c r="E47" s="250">
        <f>(1/7)*3623.84</f>
        <v>517.69142857142856</v>
      </c>
      <c r="F47" s="250">
        <f>(1/7)*7661.52</f>
        <v>1094.5028571428572</v>
      </c>
      <c r="G47" s="250"/>
      <c r="H47" s="250">
        <f>(1/7)*2010.78</f>
        <v>287.25428571428569</v>
      </c>
      <c r="I47" s="250">
        <f>(1/7)*2010.78</f>
        <v>287.25428571428569</v>
      </c>
      <c r="J47" s="250">
        <f>(1/7)*34048.28</f>
        <v>4864.04</v>
      </c>
      <c r="K47" s="250">
        <f>(1/7)*9735.8208</f>
        <v>1390.8315428571427</v>
      </c>
      <c r="L47" s="237">
        <f>(1/7)*2700</f>
        <v>385.71428571428567</v>
      </c>
      <c r="M47" s="235" t="s">
        <v>387</v>
      </c>
      <c r="N47" s="235" t="s">
        <v>365</v>
      </c>
      <c r="O47" s="211">
        <v>38930</v>
      </c>
      <c r="P47" s="251"/>
      <c r="Q47" s="235">
        <v>1734</v>
      </c>
      <c r="R47" s="252">
        <f>(1/7)*100</f>
        <v>14.285714285714285</v>
      </c>
      <c r="S47" s="235"/>
      <c r="T47" s="251" t="s">
        <v>506</v>
      </c>
      <c r="U47" s="251">
        <v>8</v>
      </c>
      <c r="V47" s="207"/>
      <c r="W47" s="242"/>
      <c r="X47" s="242"/>
      <c r="Y47" s="261"/>
      <c r="Z47" s="261"/>
      <c r="AA47" s="261"/>
      <c r="AB47" s="261"/>
    </row>
    <row r="48" spans="1:28" ht="48" x14ac:dyDescent="0.35">
      <c r="B48" s="166" t="s">
        <v>537</v>
      </c>
      <c r="C48" s="207" t="s">
        <v>485</v>
      </c>
      <c r="D48" s="250">
        <f>28456.62/2</f>
        <v>14228.31</v>
      </c>
      <c r="E48" s="250">
        <f>45/2</f>
        <v>22.5</v>
      </c>
      <c r="F48" s="250">
        <f>21826.84/2</f>
        <v>10913.42</v>
      </c>
      <c r="G48" s="250"/>
      <c r="H48" s="250">
        <f>3571.43/2</f>
        <v>1785.7149999999999</v>
      </c>
      <c r="I48" s="250">
        <f>3571.43/2</f>
        <v>1785.7149999999999</v>
      </c>
      <c r="J48" s="250">
        <f>50328.46/2</f>
        <v>25164.23</v>
      </c>
      <c r="K48" s="250">
        <f>16090.7072/2</f>
        <v>8045.3536000000004</v>
      </c>
      <c r="L48" s="351">
        <f>2000/2</f>
        <v>1000</v>
      </c>
      <c r="M48" s="250" t="s">
        <v>387</v>
      </c>
      <c r="N48" s="235" t="s">
        <v>365</v>
      </c>
      <c r="O48" s="211">
        <v>45433</v>
      </c>
      <c r="P48" s="235"/>
      <c r="Q48" s="235">
        <v>1734</v>
      </c>
      <c r="R48" s="235">
        <f>100*0.5</f>
        <v>50</v>
      </c>
      <c r="S48" s="211"/>
      <c r="T48" s="251" t="s">
        <v>546</v>
      </c>
      <c r="U48" s="235">
        <v>7</v>
      </c>
      <c r="V48" s="353"/>
      <c r="W48" s="242"/>
      <c r="X48" s="242"/>
      <c r="Y48" s="261"/>
      <c r="Z48" s="261"/>
      <c r="AA48" s="261"/>
      <c r="AB48" s="261"/>
    </row>
    <row r="49" spans="2:29" ht="153.75" customHeight="1" x14ac:dyDescent="0.35">
      <c r="B49" s="166" t="s">
        <v>551</v>
      </c>
      <c r="C49" s="207" t="s">
        <v>485</v>
      </c>
      <c r="D49" s="250">
        <v>2406.194</v>
      </c>
      <c r="E49" s="250">
        <v>170.423</v>
      </c>
      <c r="F49" s="250">
        <v>408.92600000000022</v>
      </c>
      <c r="G49" s="250"/>
      <c r="H49" s="250">
        <v>201.07999999999998</v>
      </c>
      <c r="I49" s="250">
        <v>201.07999999999998</v>
      </c>
      <c r="J49" s="250">
        <v>2985.5430000000001</v>
      </c>
      <c r="K49" s="250">
        <v>900.83839999999998</v>
      </c>
      <c r="L49" s="351">
        <v>0</v>
      </c>
      <c r="M49" s="250" t="s">
        <v>390</v>
      </c>
      <c r="N49" s="235" t="s">
        <v>365</v>
      </c>
      <c r="O49" s="211">
        <v>39167</v>
      </c>
      <c r="P49" s="238"/>
      <c r="Q49" s="235">
        <v>1734</v>
      </c>
      <c r="R49" s="252">
        <v>10</v>
      </c>
      <c r="S49" s="352"/>
      <c r="T49" s="251" t="s">
        <v>508</v>
      </c>
      <c r="U49" s="251">
        <v>8</v>
      </c>
      <c r="V49" s="353"/>
      <c r="W49" s="242"/>
      <c r="X49" s="242"/>
      <c r="Y49" s="261"/>
      <c r="Z49" s="261"/>
      <c r="AA49" s="261"/>
      <c r="AB49" s="261"/>
    </row>
    <row r="50" spans="2:29" ht="153.75" customHeight="1" x14ac:dyDescent="0.35">
      <c r="B50" s="166" t="s">
        <v>551</v>
      </c>
      <c r="C50" s="207" t="s">
        <v>485</v>
      </c>
      <c r="D50" s="250">
        <v>2387.252</v>
      </c>
      <c r="E50" s="250">
        <v>143.655</v>
      </c>
      <c r="F50" s="250">
        <v>482.39799999999997</v>
      </c>
      <c r="G50" s="250"/>
      <c r="H50" s="250">
        <v>201.10499999999999</v>
      </c>
      <c r="I50" s="250">
        <v>201.10499999999999</v>
      </c>
      <c r="J50" s="250">
        <v>3013.3049999999998</v>
      </c>
      <c r="K50" s="250">
        <v>918.28800000000012</v>
      </c>
      <c r="L50" s="351">
        <v>0</v>
      </c>
      <c r="M50" s="250" t="s">
        <v>387</v>
      </c>
      <c r="N50" s="235" t="s">
        <v>365</v>
      </c>
      <c r="O50" s="211">
        <v>38845</v>
      </c>
      <c r="P50" s="238"/>
      <c r="Q50" s="235">
        <v>1734</v>
      </c>
      <c r="R50" s="252">
        <v>10</v>
      </c>
      <c r="S50" s="352"/>
      <c r="T50" s="251" t="s">
        <v>509</v>
      </c>
      <c r="U50" s="251">
        <v>8</v>
      </c>
      <c r="V50" s="353"/>
      <c r="W50" s="242"/>
      <c r="X50" s="242"/>
      <c r="Y50" s="261"/>
      <c r="Z50" s="261"/>
      <c r="AA50" s="261"/>
      <c r="AB50" s="261"/>
    </row>
    <row r="51" spans="2:29" ht="153.75" customHeight="1" x14ac:dyDescent="0.35">
      <c r="B51" s="166" t="s">
        <v>551</v>
      </c>
      <c r="C51" s="207" t="s">
        <v>485</v>
      </c>
      <c r="D51" s="250">
        <v>3242.0080000000003</v>
      </c>
      <c r="E51" s="250">
        <v>1515.021</v>
      </c>
      <c r="F51" s="250">
        <v>5267.9680000000008</v>
      </c>
      <c r="G51" s="250"/>
      <c r="H51" s="250">
        <v>557.42200000000003</v>
      </c>
      <c r="I51" s="250">
        <v>557.42200000000003</v>
      </c>
      <c r="J51" s="250">
        <v>10024.996999999999</v>
      </c>
      <c r="K51" s="250">
        <v>1812.672</v>
      </c>
      <c r="L51" s="351">
        <v>1250</v>
      </c>
      <c r="M51" s="250" t="s">
        <v>387</v>
      </c>
      <c r="N51" s="235" t="s">
        <v>365</v>
      </c>
      <c r="O51" s="211">
        <v>33273</v>
      </c>
      <c r="P51" s="238"/>
      <c r="Q51" s="235">
        <v>1734</v>
      </c>
      <c r="R51" s="252">
        <v>10</v>
      </c>
      <c r="S51" s="352"/>
      <c r="T51" s="251" t="s">
        <v>510</v>
      </c>
      <c r="U51" s="251">
        <v>6</v>
      </c>
      <c r="V51" s="353"/>
      <c r="W51" s="242"/>
      <c r="X51" s="242"/>
      <c r="Y51" s="261"/>
      <c r="Z51" s="261"/>
      <c r="AA51" s="261"/>
      <c r="AB51" s="261"/>
    </row>
    <row r="52" spans="2:29" ht="153.75" customHeight="1" x14ac:dyDescent="0.35">
      <c r="B52" s="166" t="s">
        <v>551</v>
      </c>
      <c r="C52" s="207" t="s">
        <v>485</v>
      </c>
      <c r="D52" s="250">
        <v>3097.57</v>
      </c>
      <c r="E52" s="250">
        <v>565.12999999999988</v>
      </c>
      <c r="F52" s="250">
        <v>3069.3339999999994</v>
      </c>
      <c r="G52" s="250"/>
      <c r="H52" s="250">
        <v>366.48399999999998</v>
      </c>
      <c r="I52" s="250">
        <v>366.48399999999998</v>
      </c>
      <c r="J52" s="250">
        <v>6732.0339999999997</v>
      </c>
      <c r="K52" s="250">
        <v>1812.672</v>
      </c>
      <c r="L52" s="351">
        <v>432</v>
      </c>
      <c r="M52" s="250" t="s">
        <v>387</v>
      </c>
      <c r="N52" s="235" t="s">
        <v>365</v>
      </c>
      <c r="O52" s="211">
        <v>31845</v>
      </c>
      <c r="P52" s="238"/>
      <c r="Q52" s="235">
        <v>1734</v>
      </c>
      <c r="R52" s="252">
        <v>10</v>
      </c>
      <c r="S52" s="352"/>
      <c r="T52" s="251" t="s">
        <v>511</v>
      </c>
      <c r="U52" s="251">
        <v>2</v>
      </c>
      <c r="V52" s="353"/>
      <c r="W52" s="242"/>
      <c r="X52" s="242"/>
      <c r="Y52" s="261"/>
      <c r="Z52" s="261"/>
      <c r="AA52" s="261"/>
      <c r="AB52" s="261"/>
    </row>
    <row r="53" spans="2:29" ht="153.75" customHeight="1" x14ac:dyDescent="0.35">
      <c r="B53" s="166" t="s">
        <v>551</v>
      </c>
      <c r="C53" s="207" t="s">
        <v>485</v>
      </c>
      <c r="D53" s="250">
        <v>1713.2079999999999</v>
      </c>
      <c r="E53" s="250">
        <v>37.150999999999996</v>
      </c>
      <c r="F53" s="250">
        <v>4162.7039999999997</v>
      </c>
      <c r="G53" s="250"/>
      <c r="H53" s="250">
        <v>417.33800000000002</v>
      </c>
      <c r="I53" s="250">
        <v>417.33800000000002</v>
      </c>
      <c r="J53" s="250">
        <v>5913.0630000000001</v>
      </c>
      <c r="K53" s="250">
        <v>1812.672</v>
      </c>
      <c r="L53" s="351">
        <v>0</v>
      </c>
      <c r="M53" s="250" t="s">
        <v>391</v>
      </c>
      <c r="N53" s="235" t="s">
        <v>365</v>
      </c>
      <c r="O53" s="211">
        <v>35977</v>
      </c>
      <c r="P53" s="238"/>
      <c r="Q53" s="235">
        <v>1734</v>
      </c>
      <c r="R53" s="252">
        <v>5</v>
      </c>
      <c r="S53" s="352"/>
      <c r="T53" s="251" t="s">
        <v>512</v>
      </c>
      <c r="U53" s="251">
        <v>1</v>
      </c>
      <c r="V53" s="353"/>
      <c r="W53" s="242"/>
      <c r="X53" s="242"/>
      <c r="Y53" s="261"/>
      <c r="Z53" s="261"/>
      <c r="AA53" s="261"/>
      <c r="AB53" s="261"/>
    </row>
    <row r="54" spans="2:29" ht="153.75" customHeight="1" x14ac:dyDescent="0.35">
      <c r="B54" s="166" t="s">
        <v>551</v>
      </c>
      <c r="C54" s="207" t="s">
        <v>485</v>
      </c>
      <c r="D54" s="250">
        <v>2606.982</v>
      </c>
      <c r="E54" s="250">
        <v>473.12299999999993</v>
      </c>
      <c r="F54" s="250">
        <v>2571.4499999999998</v>
      </c>
      <c r="G54" s="250"/>
      <c r="H54" s="250">
        <v>368.38800000000003</v>
      </c>
      <c r="I54" s="250">
        <v>368.38800000000003</v>
      </c>
      <c r="J54" s="250">
        <v>5651.5550000000003</v>
      </c>
      <c r="K54" s="250">
        <v>1657.09824</v>
      </c>
      <c r="L54" s="351">
        <v>240</v>
      </c>
      <c r="M54" s="250" t="s">
        <v>387</v>
      </c>
      <c r="N54" s="235" t="s">
        <v>365</v>
      </c>
      <c r="O54" s="211">
        <v>33493</v>
      </c>
      <c r="P54" s="238"/>
      <c r="Q54" s="235">
        <v>1734</v>
      </c>
      <c r="R54" s="252">
        <v>10</v>
      </c>
      <c r="S54" s="352"/>
      <c r="T54" s="251" t="s">
        <v>513</v>
      </c>
      <c r="U54" s="251">
        <v>8</v>
      </c>
      <c r="V54" s="353"/>
      <c r="W54" s="242"/>
      <c r="X54" s="242"/>
      <c r="Y54" s="261"/>
      <c r="Z54" s="261"/>
      <c r="AA54" s="261"/>
      <c r="AB54" s="261"/>
    </row>
    <row r="55" spans="2:29" ht="153.75" customHeight="1" x14ac:dyDescent="0.35">
      <c r="B55" s="166" t="s">
        <v>551</v>
      </c>
      <c r="C55" s="207" t="s">
        <v>485</v>
      </c>
      <c r="D55" s="250">
        <v>2118.288</v>
      </c>
      <c r="E55" s="250">
        <v>215.75200000000001</v>
      </c>
      <c r="F55" s="250">
        <v>0</v>
      </c>
      <c r="G55" s="250"/>
      <c r="H55" s="250">
        <v>150.29400000000001</v>
      </c>
      <c r="I55" s="250">
        <v>150.29400000000001</v>
      </c>
      <c r="J55" s="250">
        <v>2334.04</v>
      </c>
      <c r="K55" s="250">
        <v>677.85216000000003</v>
      </c>
      <c r="L55" s="351">
        <v>0</v>
      </c>
      <c r="M55" s="250" t="s">
        <v>390</v>
      </c>
      <c r="N55" s="235" t="s">
        <v>365</v>
      </c>
      <c r="O55" s="211">
        <v>42401</v>
      </c>
      <c r="P55" s="238"/>
      <c r="Q55" s="235">
        <v>1734</v>
      </c>
      <c r="R55" s="252">
        <v>10</v>
      </c>
      <c r="S55" s="352"/>
      <c r="T55" s="251" t="s">
        <v>514</v>
      </c>
      <c r="U55" s="251">
        <v>4</v>
      </c>
      <c r="V55" s="353"/>
      <c r="W55" s="242"/>
      <c r="X55" s="242"/>
      <c r="Y55" s="261"/>
      <c r="Z55" s="261"/>
      <c r="AA55" s="261"/>
      <c r="AB55" s="261"/>
    </row>
    <row r="56" spans="2:29" ht="153.75" customHeight="1" x14ac:dyDescent="0.35">
      <c r="B56" s="166" t="s">
        <v>551</v>
      </c>
      <c r="C56" s="207" t="s">
        <v>485</v>
      </c>
      <c r="D56" s="250">
        <v>3013.0940000000001</v>
      </c>
      <c r="E56" s="250">
        <v>117.37100000000001</v>
      </c>
      <c r="F56" s="250">
        <v>1091.7759999999994</v>
      </c>
      <c r="G56" s="250"/>
      <c r="H56" s="250">
        <v>289.33499999999998</v>
      </c>
      <c r="I56" s="250">
        <v>289.33499999999998</v>
      </c>
      <c r="J56" s="250">
        <v>4222.241</v>
      </c>
      <c r="K56" s="250">
        <v>1313.5583999999999</v>
      </c>
      <c r="L56" s="351">
        <v>0</v>
      </c>
      <c r="M56" s="250" t="s">
        <v>387</v>
      </c>
      <c r="N56" s="235" t="s">
        <v>365</v>
      </c>
      <c r="O56" s="211">
        <v>42509</v>
      </c>
      <c r="P56" s="238"/>
      <c r="Q56" s="235">
        <v>1734</v>
      </c>
      <c r="R56" s="252">
        <v>10</v>
      </c>
      <c r="S56" s="352"/>
      <c r="T56" s="251" t="s">
        <v>515</v>
      </c>
      <c r="U56" s="251">
        <v>7</v>
      </c>
      <c r="V56" s="353"/>
      <c r="W56" s="242"/>
      <c r="X56" s="242"/>
      <c r="Y56" s="261"/>
      <c r="Z56" s="261"/>
      <c r="AA56" s="261"/>
      <c r="AB56" s="261"/>
    </row>
    <row r="57" spans="2:29" ht="153.75" customHeight="1" x14ac:dyDescent="0.35">
      <c r="B57" s="166" t="s">
        <v>551</v>
      </c>
      <c r="C57" s="207" t="s">
        <v>485</v>
      </c>
      <c r="D57" s="250">
        <v>3247</v>
      </c>
      <c r="E57" s="250">
        <v>204.42800000000003</v>
      </c>
      <c r="F57" s="250">
        <v>993.11800000000005</v>
      </c>
      <c r="G57" s="250"/>
      <c r="H57" s="250">
        <v>300.84100000000001</v>
      </c>
      <c r="I57" s="250">
        <v>300.84100000000001</v>
      </c>
      <c r="J57" s="250">
        <v>4444.5460000000003</v>
      </c>
      <c r="K57" s="250">
        <v>1356.8377599999999</v>
      </c>
      <c r="L57" s="351">
        <v>0</v>
      </c>
      <c r="M57" s="250" t="s">
        <v>387</v>
      </c>
      <c r="N57" s="235" t="s">
        <v>365</v>
      </c>
      <c r="O57" s="211">
        <v>42522</v>
      </c>
      <c r="P57" s="238"/>
      <c r="Q57" s="235">
        <v>1734</v>
      </c>
      <c r="R57" s="252">
        <v>10</v>
      </c>
      <c r="S57" s="352"/>
      <c r="T57" s="251" t="s">
        <v>516</v>
      </c>
      <c r="U57" s="251">
        <v>1</v>
      </c>
      <c r="V57" s="353"/>
      <c r="W57" s="242"/>
      <c r="X57" s="242"/>
      <c r="Y57" s="261"/>
      <c r="Z57" s="261"/>
      <c r="AA57" s="261"/>
      <c r="AB57" s="261"/>
    </row>
    <row r="58" spans="2:29" ht="153.75" customHeight="1" x14ac:dyDescent="0.35">
      <c r="B58" s="166" t="s">
        <v>551</v>
      </c>
      <c r="C58" s="207" t="s">
        <v>485</v>
      </c>
      <c r="D58" s="250">
        <v>2230.2219999999998</v>
      </c>
      <c r="E58" s="250">
        <v>225.20100000000002</v>
      </c>
      <c r="F58" s="250">
        <v>429.92600000000022</v>
      </c>
      <c r="G58" s="250"/>
      <c r="H58" s="250">
        <v>186.48600000000002</v>
      </c>
      <c r="I58" s="250">
        <v>186.48600000000002</v>
      </c>
      <c r="J58" s="250">
        <v>2885.3489999999997</v>
      </c>
      <c r="K58" s="250">
        <v>851.24735999999996</v>
      </c>
      <c r="L58" s="351">
        <v>0</v>
      </c>
      <c r="M58" s="250" t="s">
        <v>387</v>
      </c>
      <c r="N58" s="235" t="s">
        <v>365</v>
      </c>
      <c r="O58" s="211">
        <v>44503</v>
      </c>
      <c r="P58" s="238"/>
      <c r="Q58" s="235">
        <v>1734</v>
      </c>
      <c r="R58" s="252">
        <v>10</v>
      </c>
      <c r="S58" s="352"/>
      <c r="T58" s="251" t="s">
        <v>509</v>
      </c>
      <c r="U58" s="251">
        <v>8</v>
      </c>
      <c r="V58" s="353"/>
      <c r="W58" s="242"/>
      <c r="X58" s="242"/>
      <c r="Y58" s="261"/>
      <c r="Z58" s="261"/>
      <c r="AA58" s="261"/>
      <c r="AB58" s="261"/>
    </row>
    <row r="59" spans="2:29" ht="104.25" customHeight="1" x14ac:dyDescent="0.35">
      <c r="B59" s="135"/>
      <c r="Y59" s="126"/>
      <c r="Z59" s="126"/>
      <c r="AA59" s="126"/>
      <c r="AB59" s="126"/>
      <c r="AC59" s="126"/>
    </row>
    <row r="60" spans="2:29" x14ac:dyDescent="0.35">
      <c r="B60" s="135"/>
      <c r="Y60" s="126"/>
      <c r="Z60" s="126"/>
      <c r="AA60" s="126"/>
      <c r="AB60" s="126"/>
      <c r="AC60" s="126"/>
    </row>
    <row r="61" spans="2:29" ht="19" thickBot="1" x14ac:dyDescent="0.5">
      <c r="B61" s="18" t="s">
        <v>17</v>
      </c>
      <c r="C61" s="1"/>
    </row>
    <row r="62" spans="2:29" ht="33.75" customHeight="1" x14ac:dyDescent="0.35">
      <c r="B62" s="19" t="s">
        <v>344</v>
      </c>
      <c r="C62" s="19" t="s">
        <v>2</v>
      </c>
      <c r="D62" s="19" t="s">
        <v>21</v>
      </c>
      <c r="E62" s="19" t="s">
        <v>1</v>
      </c>
      <c r="F62" s="19" t="s">
        <v>22</v>
      </c>
      <c r="G62" s="19" t="s">
        <v>14</v>
      </c>
      <c r="H62" s="19" t="s">
        <v>18</v>
      </c>
      <c r="I62" s="19" t="s">
        <v>15</v>
      </c>
      <c r="J62" s="19" t="s">
        <v>10</v>
      </c>
      <c r="K62" s="19" t="s">
        <v>23</v>
      </c>
      <c r="L62" s="19" t="s">
        <v>16</v>
      </c>
      <c r="M62" s="19" t="s">
        <v>3</v>
      </c>
      <c r="N62" s="19" t="s">
        <v>11</v>
      </c>
      <c r="O62" s="19" t="s">
        <v>4</v>
      </c>
      <c r="P62" s="19" t="s">
        <v>5</v>
      </c>
      <c r="Q62" s="19" t="s">
        <v>24</v>
      </c>
      <c r="R62" s="19" t="s">
        <v>25</v>
      </c>
      <c r="S62" s="19" t="s">
        <v>26</v>
      </c>
      <c r="T62" s="19" t="s">
        <v>27</v>
      </c>
      <c r="U62" s="19" t="s">
        <v>6</v>
      </c>
      <c r="V62" s="19" t="s">
        <v>7</v>
      </c>
      <c r="W62" s="19" t="s">
        <v>28</v>
      </c>
      <c r="X62" s="19" t="s">
        <v>29</v>
      </c>
      <c r="Y62" s="19" t="s">
        <v>30</v>
      </c>
      <c r="Z62" s="19" t="s">
        <v>31</v>
      </c>
      <c r="AA62" s="57" t="s">
        <v>8</v>
      </c>
      <c r="AB62" s="57" t="s">
        <v>9</v>
      </c>
    </row>
    <row r="63" spans="2:29" x14ac:dyDescent="0.35">
      <c r="B63" s="4"/>
      <c r="C63" s="35"/>
      <c r="D63" s="5"/>
      <c r="E63" s="5"/>
      <c r="F63" s="5"/>
      <c r="G63" s="5"/>
      <c r="H63" s="5"/>
      <c r="I63" s="5"/>
      <c r="J63" s="5"/>
      <c r="K63" s="5"/>
      <c r="L63" s="4"/>
      <c r="M63" s="4"/>
      <c r="N63" s="4"/>
      <c r="O63" s="6"/>
      <c r="P63" s="7"/>
      <c r="Q63" s="8"/>
      <c r="R63" s="8"/>
      <c r="S63" s="8"/>
      <c r="T63" s="9"/>
      <c r="U63" s="9"/>
      <c r="V63" s="10"/>
      <c r="W63" s="36"/>
      <c r="X63" s="36" t="s">
        <v>0</v>
      </c>
      <c r="Y63" s="36"/>
      <c r="Z63" s="36"/>
      <c r="AA63" s="36"/>
      <c r="AB63" s="36"/>
    </row>
    <row r="64" spans="2:29" x14ac:dyDescent="0.35">
      <c r="B64" s="4"/>
      <c r="C64" s="31"/>
      <c r="D64" s="5"/>
      <c r="E64" s="5"/>
      <c r="F64" s="5"/>
      <c r="G64" s="5"/>
      <c r="H64" s="5"/>
      <c r="I64" s="5"/>
      <c r="J64" s="5"/>
      <c r="K64" s="5"/>
      <c r="L64" s="4"/>
      <c r="M64" s="4"/>
      <c r="N64" s="4"/>
      <c r="O64" s="6"/>
      <c r="P64" s="7"/>
      <c r="Q64" s="8"/>
      <c r="R64" s="8"/>
      <c r="S64" s="8"/>
      <c r="T64" s="9"/>
      <c r="U64" s="9"/>
      <c r="V64" s="10"/>
      <c r="W64" s="36"/>
      <c r="X64" s="36"/>
      <c r="Y64" s="36"/>
      <c r="Z64" s="36"/>
      <c r="AA64" s="36"/>
      <c r="AB64" s="36"/>
    </row>
    <row r="65" spans="2:29" x14ac:dyDescent="0.35">
      <c r="B65" s="4"/>
      <c r="C65" s="31"/>
      <c r="D65" s="5"/>
      <c r="E65" s="5"/>
      <c r="F65" s="5"/>
      <c r="G65" s="5"/>
      <c r="H65" s="5"/>
      <c r="I65" s="5"/>
      <c r="J65" s="5"/>
      <c r="K65" s="5"/>
      <c r="L65" s="4"/>
      <c r="M65" s="4"/>
      <c r="N65" s="4"/>
      <c r="O65" s="6"/>
      <c r="P65" s="7"/>
      <c r="Q65" s="8"/>
      <c r="R65" s="8"/>
      <c r="S65" s="8"/>
      <c r="T65" s="9"/>
      <c r="U65" s="9"/>
      <c r="V65" s="10"/>
      <c r="W65" s="36"/>
      <c r="X65" s="36"/>
      <c r="Y65" s="36"/>
      <c r="Z65" s="36"/>
      <c r="AA65" s="36"/>
      <c r="AB65" s="36"/>
    </row>
    <row r="66" spans="2:29" x14ac:dyDescent="0.35">
      <c r="B66" s="11"/>
      <c r="C66" s="31"/>
      <c r="D66" s="12"/>
      <c r="E66" s="12"/>
      <c r="F66" s="12"/>
      <c r="G66" s="12"/>
      <c r="H66" s="12"/>
      <c r="I66" s="12"/>
      <c r="J66" s="12"/>
      <c r="K66" s="12"/>
      <c r="L66" s="11"/>
      <c r="M66" s="11"/>
      <c r="N66" s="11"/>
      <c r="O66" s="37"/>
      <c r="P66" s="13"/>
      <c r="Q66" s="14"/>
      <c r="R66" s="14"/>
      <c r="S66" s="14"/>
      <c r="T66" s="38"/>
      <c r="U66" s="38"/>
      <c r="V66" s="15"/>
      <c r="W66" s="39"/>
      <c r="X66" s="39"/>
      <c r="Y66" s="39"/>
      <c r="Z66" s="39"/>
      <c r="AA66" s="39"/>
      <c r="AB66" s="39"/>
    </row>
    <row r="67" spans="2:29" x14ac:dyDescent="0.35">
      <c r="B67" s="11"/>
      <c r="C67" s="31"/>
      <c r="D67" s="12"/>
      <c r="E67" s="12"/>
      <c r="F67" s="12"/>
      <c r="G67" s="12"/>
      <c r="H67" s="12"/>
      <c r="I67" s="12"/>
      <c r="J67" s="12"/>
      <c r="K67" s="12"/>
      <c r="L67" s="11"/>
      <c r="M67" s="11"/>
      <c r="N67" s="11"/>
      <c r="O67" s="37"/>
      <c r="P67" s="13"/>
      <c r="Q67" s="14"/>
      <c r="R67" s="14"/>
      <c r="S67" s="14"/>
      <c r="T67" s="38"/>
      <c r="U67" s="38"/>
      <c r="V67" s="16"/>
      <c r="W67" s="39"/>
      <c r="X67" s="39"/>
      <c r="Y67" s="39"/>
      <c r="Z67" s="39"/>
      <c r="AA67" s="39"/>
      <c r="AB67" s="39"/>
    </row>
    <row r="68" spans="2:29" x14ac:dyDescent="0.35">
      <c r="B68" s="11"/>
      <c r="C68" s="31"/>
      <c r="D68" s="12"/>
      <c r="E68" s="12"/>
      <c r="F68" s="12"/>
      <c r="G68" s="12"/>
      <c r="H68" s="12"/>
      <c r="I68" s="12"/>
      <c r="J68" s="12"/>
      <c r="K68" s="12"/>
      <c r="L68" s="11"/>
      <c r="M68" s="11"/>
      <c r="N68" s="11"/>
      <c r="O68" s="37"/>
      <c r="P68" s="13"/>
      <c r="Q68" s="14"/>
      <c r="R68" s="14"/>
      <c r="S68" s="14"/>
      <c r="T68" s="38"/>
      <c r="U68" s="38"/>
      <c r="V68" s="16"/>
      <c r="W68" s="39"/>
      <c r="X68" s="39"/>
      <c r="Y68" s="39"/>
      <c r="Z68" s="39"/>
      <c r="AA68" s="39"/>
      <c r="AB68" s="39"/>
    </row>
    <row r="69" spans="2:29" x14ac:dyDescent="0.35">
      <c r="B69" s="127"/>
      <c r="C69" s="127"/>
      <c r="D69" s="128"/>
      <c r="E69" s="129"/>
      <c r="F69" s="129"/>
      <c r="G69" s="129"/>
      <c r="H69" s="129"/>
      <c r="I69" s="129"/>
      <c r="J69" s="129"/>
      <c r="K69" s="129"/>
      <c r="L69" s="129"/>
      <c r="M69" s="127"/>
      <c r="N69" s="127"/>
      <c r="O69" s="127"/>
      <c r="P69" s="130"/>
      <c r="Q69" s="131"/>
      <c r="R69" s="132"/>
      <c r="S69" s="132"/>
      <c r="T69" s="132"/>
      <c r="U69" s="133"/>
      <c r="V69" s="133"/>
      <c r="W69" s="134"/>
      <c r="X69" s="126"/>
      <c r="Y69" s="126"/>
      <c r="Z69" s="126"/>
      <c r="AA69" s="126"/>
      <c r="AB69" s="126"/>
      <c r="AC69" s="126"/>
    </row>
    <row r="70" spans="2:29" x14ac:dyDescent="0.35">
      <c r="B70" s="127"/>
      <c r="C70" s="127"/>
      <c r="D70" s="128"/>
      <c r="E70" s="129"/>
      <c r="F70" s="129"/>
      <c r="G70" s="129"/>
      <c r="H70" s="129"/>
      <c r="I70" s="129"/>
      <c r="J70" s="129"/>
      <c r="K70" s="129"/>
      <c r="L70" s="129"/>
      <c r="M70" s="127"/>
      <c r="N70" s="127"/>
      <c r="O70" s="127"/>
      <c r="P70" s="130"/>
      <c r="Q70" s="131"/>
      <c r="R70" s="132"/>
      <c r="S70" s="132"/>
      <c r="T70" s="132"/>
      <c r="U70" s="133"/>
      <c r="V70" s="133"/>
      <c r="W70" s="134"/>
      <c r="X70" s="126"/>
      <c r="Y70" s="126"/>
      <c r="Z70" s="126"/>
      <c r="AA70" s="126"/>
      <c r="AB70" s="126"/>
      <c r="AC70" s="126"/>
    </row>
    <row r="71" spans="2:29" x14ac:dyDescent="0.35">
      <c r="B71" s="135"/>
      <c r="C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  <c r="Q71" s="135"/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56"/>
  <sheetViews>
    <sheetView zoomScaleNormal="100" workbookViewId="0">
      <pane xSplit="2" ySplit="9" topLeftCell="M43" activePane="bottomRight" state="frozen"/>
      <selection activeCell="L5" sqref="L5"/>
      <selection pane="topRight" activeCell="L5" sqref="L5"/>
      <selection pane="bottomLeft" activeCell="L5" sqref="L5"/>
      <selection pane="bottomRight" activeCell="B2" sqref="B2:AB53"/>
    </sheetView>
  </sheetViews>
  <sheetFormatPr defaultColWidth="11.453125" defaultRowHeight="14.5" x14ac:dyDescent="0.35"/>
  <cols>
    <col min="1" max="1" width="5.54296875" customWidth="1"/>
    <col min="2" max="2" width="29.81640625" customWidth="1"/>
    <col min="3" max="3" width="19.1796875" customWidth="1"/>
    <col min="4" max="4" width="12.26953125" customWidth="1"/>
    <col min="5" max="5" width="12.26953125" style="149" customWidth="1"/>
    <col min="6" max="30" width="12.26953125" customWidth="1"/>
  </cols>
  <sheetData>
    <row r="2" spans="2:28" ht="18.5" x14ac:dyDescent="0.45">
      <c r="B2" s="18" t="s">
        <v>13</v>
      </c>
      <c r="C2" s="1"/>
    </row>
    <row r="3" spans="2:28" x14ac:dyDescent="0.35">
      <c r="B3" s="23"/>
      <c r="C3" s="23"/>
      <c r="F3" s="23"/>
      <c r="G3" s="208"/>
      <c r="Q3" s="23"/>
      <c r="R3" s="23"/>
      <c r="S3" s="23"/>
    </row>
    <row r="4" spans="2:28" ht="15.5" x14ac:dyDescent="0.35">
      <c r="B4" s="62" t="s">
        <v>12</v>
      </c>
      <c r="C4" s="144" t="s">
        <v>481</v>
      </c>
      <c r="D4" s="145"/>
      <c r="E4" s="146"/>
      <c r="G4" s="208"/>
      <c r="Q4" s="23"/>
      <c r="R4" s="23"/>
      <c r="S4" s="23"/>
    </row>
    <row r="5" spans="2:28" ht="15.5" x14ac:dyDescent="0.35">
      <c r="B5" s="62" t="s">
        <v>20</v>
      </c>
      <c r="C5" s="144" t="s">
        <v>552</v>
      </c>
      <c r="D5" s="145"/>
      <c r="E5" s="147"/>
      <c r="F5" s="204"/>
      <c r="Q5" s="23"/>
      <c r="R5" s="23"/>
      <c r="S5" s="23"/>
    </row>
    <row r="6" spans="2:28" ht="15.5" x14ac:dyDescent="0.35">
      <c r="B6" s="64" t="s">
        <v>19</v>
      </c>
      <c r="C6" s="144" t="s">
        <v>553</v>
      </c>
      <c r="D6" s="145"/>
      <c r="E6" s="147"/>
      <c r="Q6" s="23"/>
      <c r="R6" s="23"/>
      <c r="S6" s="23"/>
    </row>
    <row r="7" spans="2:28" ht="15.5" x14ac:dyDescent="0.35">
      <c r="B7" s="62" t="s">
        <v>32</v>
      </c>
      <c r="C7" s="148" t="s">
        <v>484</v>
      </c>
      <c r="D7" s="103"/>
    </row>
    <row r="8" spans="2:28" ht="16" thickBot="1" x14ac:dyDescent="0.4">
      <c r="B8" s="70"/>
      <c r="C8" s="103"/>
      <c r="D8" s="103"/>
    </row>
    <row r="9" spans="2:28" ht="52.5" x14ac:dyDescent="0.35">
      <c r="B9" s="19" t="s">
        <v>344</v>
      </c>
      <c r="C9" s="19" t="s">
        <v>2</v>
      </c>
      <c r="D9" s="19" t="s">
        <v>21</v>
      </c>
      <c r="E9" s="19" t="s">
        <v>1</v>
      </c>
      <c r="F9" s="19" t="s">
        <v>22</v>
      </c>
      <c r="G9" s="19" t="s">
        <v>14</v>
      </c>
      <c r="H9" s="19" t="s">
        <v>18</v>
      </c>
      <c r="I9" s="19" t="s">
        <v>15</v>
      </c>
      <c r="J9" s="19" t="s">
        <v>10</v>
      </c>
      <c r="K9" s="19" t="s">
        <v>23</v>
      </c>
      <c r="L9" s="19" t="s">
        <v>16</v>
      </c>
      <c r="M9" s="19" t="s">
        <v>3</v>
      </c>
      <c r="N9" s="19" t="s">
        <v>11</v>
      </c>
      <c r="O9" s="19" t="s">
        <v>4</v>
      </c>
      <c r="P9" s="19" t="s">
        <v>5</v>
      </c>
      <c r="Q9" s="19" t="s">
        <v>24</v>
      </c>
      <c r="R9" s="19" t="s">
        <v>25</v>
      </c>
      <c r="S9" s="19" t="s">
        <v>26</v>
      </c>
      <c r="T9" s="19" t="s">
        <v>27</v>
      </c>
      <c r="U9" s="19" t="s">
        <v>6</v>
      </c>
      <c r="V9" s="19" t="s">
        <v>7</v>
      </c>
      <c r="W9" s="19" t="s">
        <v>28</v>
      </c>
      <c r="X9" s="19" t="s">
        <v>29</v>
      </c>
      <c r="Y9" s="19" t="s">
        <v>30</v>
      </c>
      <c r="Z9" s="19" t="s">
        <v>31</v>
      </c>
      <c r="AA9" s="57" t="s">
        <v>8</v>
      </c>
      <c r="AB9" s="57" t="s">
        <v>9</v>
      </c>
    </row>
    <row r="10" spans="2:28" ht="36" x14ac:dyDescent="0.35">
      <c r="B10" s="4"/>
      <c r="C10" s="203" t="s">
        <v>485</v>
      </c>
      <c r="D10" s="365">
        <v>29994.899999999998</v>
      </c>
      <c r="E10" s="365">
        <v>1730.6499999999999</v>
      </c>
      <c r="F10" s="365">
        <v>6628.4399999999987</v>
      </c>
      <c r="G10" s="365"/>
      <c r="H10" s="365">
        <v>2582.13</v>
      </c>
      <c r="I10" s="365">
        <v>2582.13</v>
      </c>
      <c r="J10" s="365">
        <v>38353.99</v>
      </c>
      <c r="K10" s="365">
        <v>11719.468799999999</v>
      </c>
      <c r="L10" s="363">
        <v>0</v>
      </c>
      <c r="M10" s="275" t="s">
        <v>387</v>
      </c>
      <c r="N10" s="275" t="s">
        <v>365</v>
      </c>
      <c r="O10" s="366">
        <v>38819</v>
      </c>
      <c r="P10" s="74"/>
      <c r="Q10" s="275">
        <v>1734</v>
      </c>
      <c r="R10" s="275">
        <v>100</v>
      </c>
      <c r="S10" s="275"/>
      <c r="T10" s="74" t="s">
        <v>486</v>
      </c>
      <c r="U10" s="74">
        <v>2</v>
      </c>
      <c r="V10" s="293"/>
      <c r="W10" s="281"/>
      <c r="X10" s="281" t="s">
        <v>0</v>
      </c>
      <c r="Y10" s="281"/>
      <c r="Z10" s="281"/>
      <c r="AA10" s="281"/>
      <c r="AB10" s="281"/>
    </row>
    <row r="11" spans="2:28" ht="36" x14ac:dyDescent="0.35">
      <c r="B11" s="11"/>
      <c r="C11" s="203" t="s">
        <v>485</v>
      </c>
      <c r="D11" s="340">
        <v>23456.86</v>
      </c>
      <c r="E11" s="340">
        <v>5025.92</v>
      </c>
      <c r="F11" s="340">
        <v>386.81999999999971</v>
      </c>
      <c r="G11" s="340"/>
      <c r="H11" s="340">
        <v>1679.42</v>
      </c>
      <c r="I11" s="340">
        <v>1679.42</v>
      </c>
      <c r="J11" s="340">
        <v>28869.599999999999</v>
      </c>
      <c r="K11" s="340">
        <v>7629.9776000000002</v>
      </c>
      <c r="L11" s="364">
        <v>0</v>
      </c>
      <c r="M11" s="80" t="s">
        <v>387</v>
      </c>
      <c r="N11" s="80" t="s">
        <v>365</v>
      </c>
      <c r="O11" s="164">
        <v>36148</v>
      </c>
      <c r="P11" s="258"/>
      <c r="Q11" s="80">
        <v>1734</v>
      </c>
      <c r="R11" s="80">
        <v>100</v>
      </c>
      <c r="S11" s="80"/>
      <c r="T11" s="258" t="s">
        <v>487</v>
      </c>
      <c r="U11" s="258">
        <v>4</v>
      </c>
      <c r="V11" s="203"/>
      <c r="W11" s="261"/>
      <c r="X11" s="261"/>
      <c r="Y11" s="261"/>
      <c r="Z11" s="261"/>
      <c r="AA11" s="261"/>
      <c r="AB11" s="261"/>
    </row>
    <row r="12" spans="2:28" ht="36" x14ac:dyDescent="0.35">
      <c r="B12" s="11"/>
      <c r="C12" s="203" t="s">
        <v>485</v>
      </c>
      <c r="D12" s="340">
        <v>34227.479999999996</v>
      </c>
      <c r="E12" s="340">
        <v>5523.7800000000007</v>
      </c>
      <c r="F12" s="340">
        <v>20358.520000000004</v>
      </c>
      <c r="G12" s="340"/>
      <c r="H12" s="340">
        <v>3875.2999999999997</v>
      </c>
      <c r="I12" s="340">
        <v>3875.2999999999997</v>
      </c>
      <c r="J12" s="340">
        <v>60109.78</v>
      </c>
      <c r="K12" s="340">
        <v>17467.52</v>
      </c>
      <c r="L12" s="364">
        <v>1900</v>
      </c>
      <c r="M12" s="80" t="s">
        <v>387</v>
      </c>
      <c r="N12" s="80" t="s">
        <v>365</v>
      </c>
      <c r="O12" s="164">
        <v>33121</v>
      </c>
      <c r="P12" s="258"/>
      <c r="Q12" s="80">
        <v>1734</v>
      </c>
      <c r="R12" s="80">
        <v>100</v>
      </c>
      <c r="S12" s="80"/>
      <c r="T12" s="258" t="s">
        <v>491</v>
      </c>
      <c r="U12" s="258">
        <v>1</v>
      </c>
      <c r="V12" s="203"/>
      <c r="W12" s="261"/>
      <c r="X12" s="261"/>
      <c r="Y12" s="261"/>
      <c r="Z12" s="261"/>
      <c r="AA12" s="261"/>
      <c r="AB12" s="261"/>
    </row>
    <row r="13" spans="2:28" ht="36" x14ac:dyDescent="0.35">
      <c r="B13" s="11"/>
      <c r="C13" s="203" t="s">
        <v>485</v>
      </c>
      <c r="D13" s="340">
        <v>30290.719999999998</v>
      </c>
      <c r="E13" s="340">
        <v>3239.69</v>
      </c>
      <c r="F13" s="340">
        <v>6628.4399999999987</v>
      </c>
      <c r="G13" s="340"/>
      <c r="H13" s="340">
        <v>2603.2599999999998</v>
      </c>
      <c r="I13" s="340">
        <v>2603.2599999999998</v>
      </c>
      <c r="J13" s="340">
        <v>40158.85</v>
      </c>
      <c r="K13" s="340">
        <v>11814.1312</v>
      </c>
      <c r="L13" s="364">
        <v>0</v>
      </c>
      <c r="M13" s="80" t="s">
        <v>387</v>
      </c>
      <c r="N13" s="80" t="s">
        <v>365</v>
      </c>
      <c r="O13" s="164">
        <v>37354</v>
      </c>
      <c r="P13" s="258"/>
      <c r="Q13" s="80">
        <v>1734</v>
      </c>
      <c r="R13" s="80">
        <v>100</v>
      </c>
      <c r="S13" s="80"/>
      <c r="T13" s="258" t="s">
        <v>486</v>
      </c>
      <c r="U13" s="258">
        <v>2</v>
      </c>
      <c r="V13" s="203"/>
      <c r="W13" s="261"/>
      <c r="X13" s="261"/>
      <c r="Y13" s="261"/>
      <c r="Z13" s="261"/>
      <c r="AA13" s="261"/>
      <c r="AB13" s="261"/>
    </row>
    <row r="14" spans="2:28" ht="36" x14ac:dyDescent="0.35">
      <c r="B14" s="11"/>
      <c r="C14" s="203" t="s">
        <v>485</v>
      </c>
      <c r="D14" s="340">
        <v>23309.300000000003</v>
      </c>
      <c r="E14" s="340">
        <v>1166.3699999999999</v>
      </c>
      <c r="F14" s="340">
        <v>386.81999999999971</v>
      </c>
      <c r="G14" s="340"/>
      <c r="H14" s="340">
        <v>1668.8799999999999</v>
      </c>
      <c r="I14" s="340">
        <v>1668.8799999999999</v>
      </c>
      <c r="J14" s="340">
        <v>24862.49</v>
      </c>
      <c r="K14" s="340">
        <v>7582.7584000000006</v>
      </c>
      <c r="L14" s="364">
        <v>0</v>
      </c>
      <c r="M14" s="80" t="s">
        <v>387</v>
      </c>
      <c r="N14" s="80" t="s">
        <v>365</v>
      </c>
      <c r="O14" s="164">
        <v>37023</v>
      </c>
      <c r="P14" s="258"/>
      <c r="Q14" s="80">
        <v>1734</v>
      </c>
      <c r="R14" s="80">
        <v>100</v>
      </c>
      <c r="S14" s="80"/>
      <c r="T14" s="258" t="s">
        <v>487</v>
      </c>
      <c r="U14" s="258">
        <v>4</v>
      </c>
      <c r="V14" s="203"/>
      <c r="W14" s="261"/>
      <c r="X14" s="261"/>
      <c r="Y14" s="261"/>
      <c r="Z14" s="261"/>
      <c r="AA14" s="261"/>
      <c r="AB14" s="261"/>
    </row>
    <row r="15" spans="2:28" ht="36" x14ac:dyDescent="0.35">
      <c r="B15" s="11"/>
      <c r="C15" s="203" t="s">
        <v>485</v>
      </c>
      <c r="D15" s="340">
        <v>30444.399999999998</v>
      </c>
      <c r="E15" s="340">
        <v>1940.29</v>
      </c>
      <c r="F15" s="340">
        <v>6628.4399999999987</v>
      </c>
      <c r="G15" s="340"/>
      <c r="H15" s="340">
        <v>2624.36</v>
      </c>
      <c r="I15" s="340">
        <v>2624.36</v>
      </c>
      <c r="J15" s="340">
        <v>39013.129999999997</v>
      </c>
      <c r="K15" s="340">
        <v>11863.308799999999</v>
      </c>
      <c r="L15" s="367">
        <v>0</v>
      </c>
      <c r="M15" s="340" t="s">
        <v>387</v>
      </c>
      <c r="N15" s="80" t="s">
        <v>365</v>
      </c>
      <c r="O15" s="164">
        <v>35835</v>
      </c>
      <c r="P15" s="258"/>
      <c r="Q15" s="80">
        <v>1734</v>
      </c>
      <c r="R15" s="80">
        <v>100</v>
      </c>
      <c r="S15" s="80"/>
      <c r="T15" s="258" t="s">
        <v>488</v>
      </c>
      <c r="U15" s="258">
        <v>2</v>
      </c>
      <c r="V15" s="368"/>
      <c r="W15" s="261"/>
      <c r="X15" s="261"/>
      <c r="Y15" s="261"/>
      <c r="Z15" s="261"/>
      <c r="AA15" s="261"/>
      <c r="AB15" s="261"/>
    </row>
    <row r="16" spans="2:28" ht="36" x14ac:dyDescent="0.35">
      <c r="B16" s="11"/>
      <c r="C16" s="203" t="s">
        <v>485</v>
      </c>
      <c r="D16" s="340">
        <v>29446.899999999998</v>
      </c>
      <c r="E16" s="340">
        <v>12682.490000000002</v>
      </c>
      <c r="F16" s="340">
        <v>6628.4399999999987</v>
      </c>
      <c r="G16" s="340"/>
      <c r="H16" s="340">
        <v>2576.81</v>
      </c>
      <c r="I16" s="340">
        <v>2576.81</v>
      </c>
      <c r="J16" s="340">
        <v>48757.83</v>
      </c>
      <c r="K16" s="340">
        <v>11544.1088</v>
      </c>
      <c r="L16" s="367">
        <v>0</v>
      </c>
      <c r="M16" s="340" t="s">
        <v>387</v>
      </c>
      <c r="N16" s="80" t="s">
        <v>365</v>
      </c>
      <c r="O16" s="164">
        <v>38930</v>
      </c>
      <c r="P16" s="258"/>
      <c r="Q16" s="80">
        <v>1734</v>
      </c>
      <c r="R16" s="80">
        <v>100</v>
      </c>
      <c r="S16" s="80"/>
      <c r="T16" s="258" t="s">
        <v>486</v>
      </c>
      <c r="U16" s="258">
        <v>2</v>
      </c>
      <c r="V16" s="368"/>
      <c r="W16" s="261"/>
      <c r="X16" s="261"/>
      <c r="Y16" s="261"/>
      <c r="Z16" s="261"/>
      <c r="AA16" s="261"/>
      <c r="AB16" s="261"/>
    </row>
    <row r="17" spans="1:28" ht="36" x14ac:dyDescent="0.35">
      <c r="B17" s="11"/>
      <c r="C17" s="203" t="s">
        <v>485</v>
      </c>
      <c r="D17" s="340">
        <v>29704.78</v>
      </c>
      <c r="E17" s="340">
        <v>6252.4699999999984</v>
      </c>
      <c r="F17" s="340">
        <v>6628.4400000000023</v>
      </c>
      <c r="G17" s="340"/>
      <c r="H17" s="340">
        <v>2571.5299999999997</v>
      </c>
      <c r="I17" s="340">
        <v>2571.5299999999997</v>
      </c>
      <c r="J17" s="340">
        <v>42585.69</v>
      </c>
      <c r="K17" s="340">
        <v>11626.6304</v>
      </c>
      <c r="L17" s="367">
        <v>0</v>
      </c>
      <c r="M17" s="340" t="s">
        <v>390</v>
      </c>
      <c r="N17" s="80" t="s">
        <v>365</v>
      </c>
      <c r="O17" s="164">
        <v>39539</v>
      </c>
      <c r="P17" s="378"/>
      <c r="Q17" s="80">
        <v>1734</v>
      </c>
      <c r="R17" s="80">
        <v>100</v>
      </c>
      <c r="S17" s="80"/>
      <c r="T17" s="258" t="s">
        <v>486</v>
      </c>
      <c r="U17" s="258">
        <v>2</v>
      </c>
      <c r="V17" s="368"/>
      <c r="W17" s="261"/>
      <c r="X17" s="261"/>
      <c r="Y17" s="261"/>
      <c r="Z17" s="261"/>
      <c r="AA17" s="261"/>
      <c r="AB17" s="261"/>
    </row>
    <row r="18" spans="1:28" ht="36" x14ac:dyDescent="0.35">
      <c r="B18" s="11"/>
      <c r="C18" s="203" t="s">
        <v>485</v>
      </c>
      <c r="D18" s="340">
        <v>29914.44</v>
      </c>
      <c r="E18" s="340">
        <v>4550.1100000000006</v>
      </c>
      <c r="F18" s="340">
        <v>6628.4399999999987</v>
      </c>
      <c r="G18" s="340"/>
      <c r="H18" s="340">
        <v>2566.2599999999998</v>
      </c>
      <c r="I18" s="340">
        <v>2566.2599999999998</v>
      </c>
      <c r="J18" s="340">
        <v>41092.99</v>
      </c>
      <c r="K18" s="340">
        <v>11693.721599999999</v>
      </c>
      <c r="L18" s="367">
        <v>0</v>
      </c>
      <c r="M18" s="340" t="s">
        <v>390</v>
      </c>
      <c r="N18" s="80" t="s">
        <v>365</v>
      </c>
      <c r="O18" s="164">
        <v>39944</v>
      </c>
      <c r="P18" s="378"/>
      <c r="Q18" s="80">
        <v>1734</v>
      </c>
      <c r="R18" s="80">
        <v>100</v>
      </c>
      <c r="S18" s="80"/>
      <c r="T18" s="258" t="s">
        <v>486</v>
      </c>
      <c r="U18" s="258">
        <v>2</v>
      </c>
      <c r="V18" s="368"/>
      <c r="W18" s="261"/>
      <c r="X18" s="261"/>
      <c r="Y18" s="261"/>
      <c r="Z18" s="261"/>
      <c r="AA18" s="261"/>
      <c r="AB18" s="261"/>
    </row>
    <row r="19" spans="1:28" ht="36" x14ac:dyDescent="0.35">
      <c r="B19" s="11"/>
      <c r="C19" s="203" t="s">
        <v>485</v>
      </c>
      <c r="D19" s="340">
        <v>14575.96</v>
      </c>
      <c r="E19" s="340">
        <v>5546.59</v>
      </c>
      <c r="F19" s="340">
        <v>3314.2200000000012</v>
      </c>
      <c r="G19" s="340"/>
      <c r="H19" s="340">
        <v>1277.8700000000001</v>
      </c>
      <c r="I19" s="340">
        <v>1277.8700000000001</v>
      </c>
      <c r="J19" s="340">
        <v>23436.77</v>
      </c>
      <c r="K19" s="340">
        <v>5724.8576000000003</v>
      </c>
      <c r="L19" s="367">
        <v>0</v>
      </c>
      <c r="M19" s="340" t="s">
        <v>391</v>
      </c>
      <c r="N19" s="80" t="s">
        <v>365</v>
      </c>
      <c r="O19" s="164">
        <v>40511</v>
      </c>
      <c r="P19" s="258"/>
      <c r="Q19" s="80">
        <v>1734</v>
      </c>
      <c r="R19" s="80">
        <v>50</v>
      </c>
      <c r="S19" s="80"/>
      <c r="T19" s="258" t="s">
        <v>486</v>
      </c>
      <c r="U19" s="258">
        <v>2</v>
      </c>
      <c r="V19" s="368"/>
      <c r="W19" s="261"/>
      <c r="X19" s="261"/>
      <c r="Y19" s="261"/>
      <c r="Z19" s="261"/>
      <c r="AA19" s="261"/>
      <c r="AB19" s="261"/>
    </row>
    <row r="20" spans="1:28" ht="36" x14ac:dyDescent="0.35">
      <c r="B20" s="11"/>
      <c r="C20" s="203" t="s">
        <v>485</v>
      </c>
      <c r="D20" s="340">
        <v>28158.62</v>
      </c>
      <c r="E20" s="340">
        <v>12696.960000000001</v>
      </c>
      <c r="F20" s="340">
        <v>6628.4399999999987</v>
      </c>
      <c r="G20" s="340"/>
      <c r="H20" s="340">
        <v>2461.09</v>
      </c>
      <c r="I20" s="340">
        <v>2461.09</v>
      </c>
      <c r="J20" s="340">
        <v>47484.02</v>
      </c>
      <c r="K20" s="340">
        <v>11131.859199999999</v>
      </c>
      <c r="L20" s="367">
        <v>0</v>
      </c>
      <c r="M20" s="340" t="s">
        <v>387</v>
      </c>
      <c r="N20" s="80" t="s">
        <v>365</v>
      </c>
      <c r="O20" s="164">
        <v>43291</v>
      </c>
      <c r="P20" s="378"/>
      <c r="Q20" s="80">
        <v>1734</v>
      </c>
      <c r="R20" s="80">
        <v>100</v>
      </c>
      <c r="S20" s="80"/>
      <c r="T20" s="258" t="s">
        <v>496</v>
      </c>
      <c r="U20" s="258">
        <v>2</v>
      </c>
      <c r="V20" s="368"/>
      <c r="W20" s="261"/>
      <c r="X20" s="261"/>
      <c r="Y20" s="261"/>
      <c r="Z20" s="261"/>
      <c r="AA20" s="261"/>
      <c r="AB20" s="261"/>
    </row>
    <row r="21" spans="1:28" ht="36" x14ac:dyDescent="0.35">
      <c r="B21" s="11"/>
      <c r="C21" s="203" t="s">
        <v>485</v>
      </c>
      <c r="D21" s="340">
        <v>22237.46</v>
      </c>
      <c r="E21" s="340">
        <v>1971.37</v>
      </c>
      <c r="F21" s="340">
        <v>386.82000000000335</v>
      </c>
      <c r="G21" s="340"/>
      <c r="H21" s="340">
        <v>1616.0200000000002</v>
      </c>
      <c r="I21" s="340">
        <v>1616.0200000000002</v>
      </c>
      <c r="J21" s="340">
        <v>24595.65</v>
      </c>
      <c r="K21" s="340">
        <v>7239.7696000000005</v>
      </c>
      <c r="L21" s="367">
        <v>0</v>
      </c>
      <c r="M21" s="340" t="s">
        <v>390</v>
      </c>
      <c r="N21" s="80" t="s">
        <v>365</v>
      </c>
      <c r="O21" s="164">
        <v>40681</v>
      </c>
      <c r="P21" s="258"/>
      <c r="Q21" s="80">
        <v>1734</v>
      </c>
      <c r="R21" s="80">
        <v>100</v>
      </c>
      <c r="S21" s="80"/>
      <c r="T21" s="258" t="s">
        <v>487</v>
      </c>
      <c r="U21" s="258">
        <v>4</v>
      </c>
      <c r="V21" s="368"/>
      <c r="W21" s="261"/>
      <c r="X21" s="261"/>
      <c r="Y21" s="261"/>
      <c r="Z21" s="261"/>
      <c r="AA21" s="261"/>
      <c r="AB21" s="261"/>
    </row>
    <row r="22" spans="1:28" ht="36" x14ac:dyDescent="0.35">
      <c r="B22" s="11"/>
      <c r="C22" s="203" t="s">
        <v>485</v>
      </c>
      <c r="D22" s="340">
        <v>22569.260000000002</v>
      </c>
      <c r="E22" s="340">
        <v>3654.9699999999993</v>
      </c>
      <c r="F22" s="340">
        <v>386.81999999999971</v>
      </c>
      <c r="G22" s="340"/>
      <c r="H22" s="340">
        <v>1616.0200000000002</v>
      </c>
      <c r="I22" s="340">
        <v>1616.0200000000002</v>
      </c>
      <c r="J22" s="340">
        <v>26611.050000000003</v>
      </c>
      <c r="K22" s="340">
        <v>7345.9456000000009</v>
      </c>
      <c r="L22" s="367">
        <v>0</v>
      </c>
      <c r="M22" s="340" t="s">
        <v>390</v>
      </c>
      <c r="N22" s="80" t="s">
        <v>365</v>
      </c>
      <c r="O22" s="164">
        <v>40717</v>
      </c>
      <c r="P22" s="258"/>
      <c r="Q22" s="80">
        <v>1734</v>
      </c>
      <c r="R22" s="80">
        <v>100</v>
      </c>
      <c r="S22" s="80"/>
      <c r="T22" s="258" t="s">
        <v>487</v>
      </c>
      <c r="U22" s="258">
        <v>4</v>
      </c>
      <c r="V22" s="368"/>
      <c r="W22" s="261"/>
      <c r="X22" s="261"/>
      <c r="Y22" s="261"/>
      <c r="Z22" s="261"/>
      <c r="AA22" s="261"/>
      <c r="AB22" s="261"/>
    </row>
    <row r="23" spans="1:28" ht="36" x14ac:dyDescent="0.35">
      <c r="B23" s="11"/>
      <c r="C23" s="203" t="s">
        <v>485</v>
      </c>
      <c r="D23" s="340">
        <v>15701.7</v>
      </c>
      <c r="E23" s="340">
        <v>443.41</v>
      </c>
      <c r="F23" s="340">
        <v>0</v>
      </c>
      <c r="G23" s="340"/>
      <c r="H23" s="340">
        <v>1121.55</v>
      </c>
      <c r="I23" s="340">
        <v>1121.55</v>
      </c>
      <c r="J23" s="340">
        <v>16145.11</v>
      </c>
      <c r="K23" s="340">
        <v>5024.5440000000008</v>
      </c>
      <c r="L23" s="367">
        <v>0</v>
      </c>
      <c r="M23" s="340" t="s">
        <v>554</v>
      </c>
      <c r="N23" s="80" t="s">
        <v>365</v>
      </c>
      <c r="O23" s="164">
        <v>42793</v>
      </c>
      <c r="P23" s="378"/>
      <c r="Q23" s="80">
        <v>1734</v>
      </c>
      <c r="R23" s="80">
        <v>75</v>
      </c>
      <c r="S23" s="80"/>
      <c r="T23" s="258" t="s">
        <v>555</v>
      </c>
      <c r="U23" s="258">
        <v>9</v>
      </c>
      <c r="V23" s="368"/>
      <c r="W23" s="261"/>
      <c r="X23" s="261"/>
      <c r="Y23" s="261"/>
      <c r="Z23" s="261"/>
      <c r="AA23" s="261"/>
      <c r="AB23" s="261"/>
    </row>
    <row r="24" spans="1:28" ht="36" x14ac:dyDescent="0.35">
      <c r="B24" s="11"/>
      <c r="C24" s="203" t="s">
        <v>485</v>
      </c>
      <c r="D24" s="340">
        <v>27709.78</v>
      </c>
      <c r="E24" s="340">
        <v>5586.9699999999993</v>
      </c>
      <c r="F24" s="340">
        <v>11628.480000000003</v>
      </c>
      <c r="G24" s="340"/>
      <c r="H24" s="340">
        <v>2452.73</v>
      </c>
      <c r="I24" s="340">
        <v>2452.73</v>
      </c>
      <c r="J24" s="340">
        <v>44925.23</v>
      </c>
      <c r="K24" s="340">
        <v>12588.243200000001</v>
      </c>
      <c r="L24" s="367">
        <v>3500</v>
      </c>
      <c r="M24" s="340" t="s">
        <v>390</v>
      </c>
      <c r="N24" s="115" t="s">
        <v>365</v>
      </c>
      <c r="O24" s="164">
        <v>43593</v>
      </c>
      <c r="P24" s="258"/>
      <c r="Q24" s="80">
        <v>1734</v>
      </c>
      <c r="R24" s="80">
        <v>100</v>
      </c>
      <c r="S24" s="80"/>
      <c r="T24" s="258" t="s">
        <v>496</v>
      </c>
      <c r="U24" s="258">
        <v>2</v>
      </c>
      <c r="V24" s="368"/>
      <c r="W24" s="261"/>
      <c r="X24" s="261"/>
      <c r="Y24" s="261"/>
      <c r="Z24" s="261"/>
      <c r="AA24" s="261"/>
      <c r="AB24" s="261"/>
    </row>
    <row r="25" spans="1:28" ht="36" x14ac:dyDescent="0.35">
      <c r="B25" s="154"/>
      <c r="C25" s="207" t="s">
        <v>485</v>
      </c>
      <c r="D25" s="250">
        <v>31730.579999999998</v>
      </c>
      <c r="E25" s="250">
        <v>7657.9699999999993</v>
      </c>
      <c r="F25" s="250">
        <v>32089.7</v>
      </c>
      <c r="G25" s="250"/>
      <c r="H25" s="250">
        <v>4130.0199999999995</v>
      </c>
      <c r="I25" s="250">
        <v>4130.0199999999995</v>
      </c>
      <c r="J25" s="250">
        <v>71478.25</v>
      </c>
      <c r="K25" s="250">
        <v>18126.72</v>
      </c>
      <c r="L25" s="351">
        <v>5500</v>
      </c>
      <c r="M25" s="250" t="s">
        <v>387</v>
      </c>
      <c r="N25" s="235" t="s">
        <v>365</v>
      </c>
      <c r="O25" s="211">
        <v>43952</v>
      </c>
      <c r="P25" s="238"/>
      <c r="Q25" s="235">
        <v>1734</v>
      </c>
      <c r="R25" s="235">
        <v>100</v>
      </c>
      <c r="S25" s="235"/>
      <c r="T25" s="251" t="s">
        <v>493</v>
      </c>
      <c r="U25" s="251">
        <v>1</v>
      </c>
      <c r="V25" s="353"/>
      <c r="W25" s="242"/>
      <c r="X25" s="242"/>
      <c r="Y25" s="242"/>
      <c r="Z25" s="242"/>
      <c r="AA25" s="242"/>
      <c r="AB25" s="242"/>
    </row>
    <row r="26" spans="1:28" ht="36" x14ac:dyDescent="0.35">
      <c r="B26" s="154"/>
      <c r="C26" s="207" t="s">
        <v>485</v>
      </c>
      <c r="D26" s="250">
        <v>4330.4800000000005</v>
      </c>
      <c r="E26" s="250">
        <v>2321.1399999999994</v>
      </c>
      <c r="F26" s="250">
        <v>3574.3399999999992</v>
      </c>
      <c r="G26" s="250"/>
      <c r="H26" s="250">
        <v>564.63</v>
      </c>
      <c r="I26" s="250">
        <v>564.63</v>
      </c>
      <c r="J26" s="250">
        <v>10225.959999999999</v>
      </c>
      <c r="K26" s="250">
        <v>2529.5423999999998</v>
      </c>
      <c r="L26" s="351">
        <v>260</v>
      </c>
      <c r="M26" s="250" t="s">
        <v>497</v>
      </c>
      <c r="N26" s="235" t="s">
        <v>365</v>
      </c>
      <c r="O26" s="211">
        <v>44400</v>
      </c>
      <c r="P26" s="251"/>
      <c r="Q26" s="235">
        <v>1734</v>
      </c>
      <c r="R26" s="235">
        <v>13.7</v>
      </c>
      <c r="S26" s="235"/>
      <c r="T26" s="251" t="s">
        <v>493</v>
      </c>
      <c r="U26" s="251">
        <v>1</v>
      </c>
      <c r="V26" s="353"/>
      <c r="W26" s="242"/>
      <c r="X26" s="242"/>
      <c r="Y26" s="242"/>
      <c r="Z26" s="242"/>
      <c r="AA26" s="242"/>
      <c r="AB26" s="242"/>
    </row>
    <row r="27" spans="1:28" ht="36" x14ac:dyDescent="0.35">
      <c r="B27" s="154"/>
      <c r="C27" s="207" t="s">
        <v>485</v>
      </c>
      <c r="D27" s="250">
        <v>3066.28</v>
      </c>
      <c r="E27" s="250">
        <v>61.57</v>
      </c>
      <c r="F27" s="250">
        <v>662.90000000000009</v>
      </c>
      <c r="G27" s="250"/>
      <c r="H27" s="250">
        <v>242.67000000000002</v>
      </c>
      <c r="I27" s="250">
        <v>242.67000000000002</v>
      </c>
      <c r="J27" s="250">
        <v>3790.7500000000005</v>
      </c>
      <c r="K27" s="250">
        <v>1193.3376000000001</v>
      </c>
      <c r="L27" s="351">
        <v>0</v>
      </c>
      <c r="M27" s="250" t="s">
        <v>391</v>
      </c>
      <c r="N27" s="235" t="s">
        <v>365</v>
      </c>
      <c r="O27" s="211">
        <v>44741</v>
      </c>
      <c r="P27" s="238"/>
      <c r="Q27" s="235">
        <v>1734</v>
      </c>
      <c r="R27" s="235">
        <v>10</v>
      </c>
      <c r="S27" s="235"/>
      <c r="T27" s="251" t="s">
        <v>496</v>
      </c>
      <c r="U27" s="251">
        <v>2</v>
      </c>
      <c r="V27" s="353"/>
      <c r="W27" s="242"/>
      <c r="X27" s="242"/>
      <c r="Y27" s="242"/>
      <c r="Z27" s="242"/>
      <c r="AA27" s="242"/>
      <c r="AB27" s="242"/>
    </row>
    <row r="28" spans="1:28" ht="36" x14ac:dyDescent="0.35">
      <c r="B28" s="154"/>
      <c r="C28" s="207" t="s">
        <v>485</v>
      </c>
      <c r="D28" s="250">
        <v>13881.56</v>
      </c>
      <c r="E28" s="250">
        <v>0</v>
      </c>
      <c r="F28" s="250">
        <v>3314.2199999999993</v>
      </c>
      <c r="G28" s="250"/>
      <c r="H28" s="250">
        <v>1204.57</v>
      </c>
      <c r="I28" s="250">
        <v>1204.57</v>
      </c>
      <c r="J28" s="250">
        <v>17195.78</v>
      </c>
      <c r="K28" s="250">
        <v>5502.6495999999997</v>
      </c>
      <c r="L28" s="351">
        <v>0</v>
      </c>
      <c r="M28" s="250" t="s">
        <v>391</v>
      </c>
      <c r="N28" s="235" t="s">
        <v>365</v>
      </c>
      <c r="O28" s="211">
        <v>45348</v>
      </c>
      <c r="P28" s="251"/>
      <c r="Q28" s="235">
        <v>1734</v>
      </c>
      <c r="R28" s="235">
        <v>50</v>
      </c>
      <c r="S28" s="235"/>
      <c r="T28" s="251" t="s">
        <v>496</v>
      </c>
      <c r="U28" s="251">
        <v>2</v>
      </c>
      <c r="V28" s="353"/>
      <c r="W28" s="242"/>
      <c r="X28" s="242"/>
      <c r="Y28" s="242"/>
      <c r="Z28" s="242"/>
      <c r="AA28" s="242"/>
      <c r="AB28" s="242"/>
    </row>
    <row r="29" spans="1:28" ht="36" x14ac:dyDescent="0.35">
      <c r="B29" s="154"/>
      <c r="C29" s="207" t="s">
        <v>485</v>
      </c>
      <c r="D29" s="250">
        <v>20348.86</v>
      </c>
      <c r="E29" s="250">
        <v>17.29</v>
      </c>
      <c r="F29" s="250">
        <v>381.91999999999825</v>
      </c>
      <c r="G29" s="250"/>
      <c r="H29" s="250">
        <v>1480.77</v>
      </c>
      <c r="I29" s="250">
        <v>1480.77</v>
      </c>
      <c r="J29" s="250">
        <v>20748.07</v>
      </c>
      <c r="K29" s="250">
        <v>6633.8495999999996</v>
      </c>
      <c r="L29" s="351">
        <v>0</v>
      </c>
      <c r="M29" s="250" t="s">
        <v>391</v>
      </c>
      <c r="N29" s="235" t="s">
        <v>365</v>
      </c>
      <c r="O29" s="211">
        <v>45433</v>
      </c>
      <c r="P29" s="251"/>
      <c r="Q29" s="235">
        <v>1734</v>
      </c>
      <c r="R29" s="235">
        <v>100</v>
      </c>
      <c r="S29" s="235"/>
      <c r="T29" s="251" t="s">
        <v>495</v>
      </c>
      <c r="U29" s="251">
        <v>4</v>
      </c>
      <c r="V29" s="353"/>
      <c r="W29" s="242"/>
      <c r="X29" s="242"/>
      <c r="Y29" s="242"/>
      <c r="Z29" s="242"/>
      <c r="AA29" s="242"/>
      <c r="AB29" s="242"/>
    </row>
    <row r="30" spans="1:28" s="208" customFormat="1" ht="36" x14ac:dyDescent="0.35">
      <c r="A30" s="355"/>
      <c r="B30" s="205"/>
      <c r="C30" s="207" t="s">
        <v>485</v>
      </c>
      <c r="D30" s="250">
        <v>47539.1</v>
      </c>
      <c r="E30" s="250">
        <v>0</v>
      </c>
      <c r="F30" s="250">
        <v>15792.719999999994</v>
      </c>
      <c r="G30" s="250"/>
      <c r="H30" s="250">
        <v>2931.06</v>
      </c>
      <c r="I30" s="250">
        <v>2931.06</v>
      </c>
      <c r="J30" s="250">
        <v>63331.819999999992</v>
      </c>
      <c r="K30" s="250">
        <v>18126.72</v>
      </c>
      <c r="L30" s="351">
        <v>0</v>
      </c>
      <c r="M30" s="250" t="s">
        <v>387</v>
      </c>
      <c r="N30" s="235" t="s">
        <v>365</v>
      </c>
      <c r="O30" s="211">
        <v>45562</v>
      </c>
      <c r="P30" s="251"/>
      <c r="Q30" s="207">
        <v>1734</v>
      </c>
      <c r="R30" s="235">
        <v>100</v>
      </c>
      <c r="S30" s="235"/>
      <c r="T30" s="251" t="s">
        <v>493</v>
      </c>
      <c r="U30" s="235">
        <v>1</v>
      </c>
      <c r="V30" s="353"/>
      <c r="W30" s="353"/>
      <c r="X30" s="353"/>
      <c r="Y30" s="353"/>
      <c r="Z30" s="353"/>
      <c r="AA30" s="353"/>
      <c r="AB30" s="242"/>
    </row>
    <row r="31" spans="1:28" s="208" customFormat="1" ht="36" x14ac:dyDescent="0.35">
      <c r="A31" s="355"/>
      <c r="B31" s="205"/>
      <c r="C31" s="207" t="s">
        <v>485</v>
      </c>
      <c r="D31" s="250">
        <v>20730.78</v>
      </c>
      <c r="E31" s="250">
        <v>0</v>
      </c>
      <c r="F31" s="250">
        <v>0</v>
      </c>
      <c r="G31" s="250"/>
      <c r="H31" s="250">
        <v>1453.49</v>
      </c>
      <c r="I31" s="250">
        <v>1453.49</v>
      </c>
      <c r="J31" s="250">
        <v>20730.78</v>
      </c>
      <c r="K31" s="250">
        <v>6633.8495999999996</v>
      </c>
      <c r="L31" s="351">
        <v>0</v>
      </c>
      <c r="M31" s="250" t="s">
        <v>397</v>
      </c>
      <c r="N31" s="235" t="s">
        <v>374</v>
      </c>
      <c r="O31" s="211">
        <v>45614</v>
      </c>
      <c r="P31" s="251"/>
      <c r="Q31" s="207">
        <v>1734</v>
      </c>
      <c r="R31" s="235">
        <v>100</v>
      </c>
      <c r="S31" s="235"/>
      <c r="T31" s="251" t="s">
        <v>495</v>
      </c>
      <c r="U31" s="235">
        <v>4</v>
      </c>
      <c r="V31" s="353"/>
      <c r="W31" s="353"/>
      <c r="X31" s="353"/>
      <c r="Y31" s="353"/>
      <c r="Z31" s="353"/>
      <c r="AA31" s="353"/>
      <c r="AB31" s="242"/>
    </row>
    <row r="32" spans="1:28" s="208" customFormat="1" ht="20.25" customHeight="1" x14ac:dyDescent="0.35">
      <c r="A32" s="355"/>
      <c r="B32" s="205" t="s">
        <v>556</v>
      </c>
      <c r="C32" s="207" t="s">
        <v>485</v>
      </c>
      <c r="D32" s="250">
        <f>0.6*45082.8</f>
        <v>27049.68</v>
      </c>
      <c r="E32" s="250">
        <v>0</v>
      </c>
      <c r="F32" s="250">
        <f>0.6*2414.16</f>
        <v>1448.4959999999999</v>
      </c>
      <c r="G32" s="250"/>
      <c r="H32" s="250">
        <f>0.6*2327.89</f>
        <v>1396.7339999999999</v>
      </c>
      <c r="I32" s="250">
        <f>0.6*2327.89</f>
        <v>1396.7339999999999</v>
      </c>
      <c r="J32" s="250">
        <f>0.6*47496.96</f>
        <v>28498.175999999999</v>
      </c>
      <c r="K32" s="250">
        <f>0.6*15199.0272</f>
        <v>9119.4163200000003</v>
      </c>
      <c r="L32" s="351">
        <v>0</v>
      </c>
      <c r="M32" s="250" t="s">
        <v>387</v>
      </c>
      <c r="N32" s="235" t="s">
        <v>365</v>
      </c>
      <c r="O32" s="211">
        <v>45476</v>
      </c>
      <c r="P32" s="251"/>
      <c r="Q32" s="207">
        <v>1734</v>
      </c>
      <c r="R32" s="235">
        <f>0.6*100</f>
        <v>60</v>
      </c>
      <c r="S32" s="235"/>
      <c r="T32" s="251" t="s">
        <v>523</v>
      </c>
      <c r="U32" s="235">
        <v>1</v>
      </c>
      <c r="V32" s="353"/>
      <c r="W32" s="353"/>
      <c r="X32" s="353"/>
      <c r="Y32" s="353"/>
      <c r="Z32" s="353"/>
      <c r="AA32" s="353"/>
      <c r="AB32" s="242"/>
    </row>
    <row r="33" spans="2:29" s="126" customFormat="1" ht="123" customHeight="1" x14ac:dyDescent="0.35">
      <c r="B33" s="166" t="s">
        <v>557</v>
      </c>
      <c r="C33" s="207" t="s">
        <v>485</v>
      </c>
      <c r="D33" s="250">
        <f>(1/7)*22762.92</f>
        <v>3251.8457142857137</v>
      </c>
      <c r="E33" s="250">
        <f>(1/7)*3623.84</f>
        <v>517.69142857142856</v>
      </c>
      <c r="F33" s="250">
        <f>(1/7)*7661.52</f>
        <v>1094.5028571428572</v>
      </c>
      <c r="G33" s="250"/>
      <c r="H33" s="250">
        <f>(1/7)*2010.78</f>
        <v>287.25428571428569</v>
      </c>
      <c r="I33" s="250">
        <f>(1/7)*2010.78</f>
        <v>287.25428571428569</v>
      </c>
      <c r="J33" s="250">
        <f>(1/7)*34048.28</f>
        <v>4864.04</v>
      </c>
      <c r="K33" s="250">
        <f>(1/7)*9735.8208</f>
        <v>1390.8315428571427</v>
      </c>
      <c r="L33" s="237">
        <f>(1/7)*2700</f>
        <v>385.71428571428567</v>
      </c>
      <c r="M33" s="235" t="s">
        <v>387</v>
      </c>
      <c r="N33" s="235" t="s">
        <v>365</v>
      </c>
      <c r="O33" s="211">
        <v>38930</v>
      </c>
      <c r="P33" s="251"/>
      <c r="Q33" s="235">
        <v>1734</v>
      </c>
      <c r="R33" s="252">
        <f>(1/7)*100</f>
        <v>14.285714285714285</v>
      </c>
      <c r="S33" s="235"/>
      <c r="T33" s="251" t="s">
        <v>506</v>
      </c>
      <c r="U33" s="251">
        <v>8</v>
      </c>
      <c r="V33" s="207"/>
      <c r="W33" s="242"/>
      <c r="X33" s="242"/>
      <c r="Y33" s="242"/>
      <c r="Z33" s="242"/>
      <c r="AA33" s="242"/>
      <c r="AB33" s="242"/>
    </row>
    <row r="34" spans="2:29" ht="146.25" customHeight="1" x14ac:dyDescent="0.35">
      <c r="B34" s="166" t="s">
        <v>558</v>
      </c>
      <c r="C34" s="207" t="s">
        <v>485</v>
      </c>
      <c r="D34" s="250">
        <v>2406.194</v>
      </c>
      <c r="E34" s="250">
        <v>170.423</v>
      </c>
      <c r="F34" s="250">
        <v>408.92600000000022</v>
      </c>
      <c r="G34" s="250"/>
      <c r="H34" s="250">
        <v>201.07999999999998</v>
      </c>
      <c r="I34" s="250">
        <v>201.07999999999998</v>
      </c>
      <c r="J34" s="250">
        <v>2985.5430000000001</v>
      </c>
      <c r="K34" s="250">
        <v>900.83839999999998</v>
      </c>
      <c r="L34" s="351">
        <v>0</v>
      </c>
      <c r="M34" s="250" t="s">
        <v>390</v>
      </c>
      <c r="N34" s="235" t="s">
        <v>365</v>
      </c>
      <c r="O34" s="211">
        <v>39167</v>
      </c>
      <c r="P34" s="238"/>
      <c r="Q34" s="235">
        <v>1734</v>
      </c>
      <c r="R34" s="252">
        <v>10</v>
      </c>
      <c r="S34" s="352"/>
      <c r="T34" s="251" t="s">
        <v>508</v>
      </c>
      <c r="U34" s="251">
        <v>8</v>
      </c>
      <c r="V34" s="353"/>
      <c r="W34" s="242"/>
      <c r="X34" s="242"/>
      <c r="Y34" s="242"/>
      <c r="Z34" s="242"/>
      <c r="AA34" s="242"/>
      <c r="AB34" s="242"/>
    </row>
    <row r="35" spans="2:29" ht="146.25" customHeight="1" x14ac:dyDescent="0.35">
      <c r="B35" s="166" t="s">
        <v>559</v>
      </c>
      <c r="C35" s="207" t="s">
        <v>485</v>
      </c>
      <c r="D35" s="250">
        <v>2387.252</v>
      </c>
      <c r="E35" s="250">
        <v>143.655</v>
      </c>
      <c r="F35" s="250">
        <v>482.39799999999997</v>
      </c>
      <c r="G35" s="250"/>
      <c r="H35" s="250">
        <v>201.10499999999999</v>
      </c>
      <c r="I35" s="250">
        <v>201.10499999999999</v>
      </c>
      <c r="J35" s="250">
        <v>3013.3049999999998</v>
      </c>
      <c r="K35" s="250">
        <v>918.28800000000012</v>
      </c>
      <c r="L35" s="351">
        <v>0</v>
      </c>
      <c r="M35" s="250" t="s">
        <v>387</v>
      </c>
      <c r="N35" s="235" t="s">
        <v>365</v>
      </c>
      <c r="O35" s="211">
        <v>38845</v>
      </c>
      <c r="P35" s="238"/>
      <c r="Q35" s="235">
        <v>1734</v>
      </c>
      <c r="R35" s="252">
        <v>10</v>
      </c>
      <c r="S35" s="352"/>
      <c r="T35" s="251" t="s">
        <v>509</v>
      </c>
      <c r="U35" s="251">
        <v>8</v>
      </c>
      <c r="V35" s="353"/>
      <c r="W35" s="242"/>
      <c r="X35" s="242"/>
      <c r="Y35" s="242"/>
      <c r="Z35" s="242"/>
      <c r="AA35" s="242"/>
      <c r="AB35" s="242"/>
    </row>
    <row r="36" spans="2:29" ht="146.25" customHeight="1" x14ac:dyDescent="0.35">
      <c r="B36" s="166" t="s">
        <v>559</v>
      </c>
      <c r="C36" s="207" t="s">
        <v>485</v>
      </c>
      <c r="D36" s="250">
        <v>3242.0080000000003</v>
      </c>
      <c r="E36" s="250">
        <v>1515.021</v>
      </c>
      <c r="F36" s="250">
        <v>5267.9680000000008</v>
      </c>
      <c r="G36" s="250"/>
      <c r="H36" s="250">
        <v>557.42200000000003</v>
      </c>
      <c r="I36" s="250">
        <v>557.42200000000003</v>
      </c>
      <c r="J36" s="250">
        <v>10024.996999999999</v>
      </c>
      <c r="K36" s="250">
        <v>1812.672</v>
      </c>
      <c r="L36" s="351">
        <v>1250</v>
      </c>
      <c r="M36" s="250" t="s">
        <v>387</v>
      </c>
      <c r="N36" s="235" t="s">
        <v>365</v>
      </c>
      <c r="O36" s="211">
        <v>33273</v>
      </c>
      <c r="P36" s="238"/>
      <c r="Q36" s="235">
        <v>1734</v>
      </c>
      <c r="R36" s="252">
        <v>10</v>
      </c>
      <c r="S36" s="352"/>
      <c r="T36" s="251" t="s">
        <v>510</v>
      </c>
      <c r="U36" s="251">
        <v>6</v>
      </c>
      <c r="V36" s="353"/>
      <c r="W36" s="242"/>
      <c r="X36" s="242"/>
      <c r="Y36" s="242"/>
      <c r="Z36" s="242"/>
      <c r="AA36" s="242"/>
      <c r="AB36" s="242"/>
    </row>
    <row r="37" spans="2:29" ht="146.25" customHeight="1" x14ac:dyDescent="0.35">
      <c r="B37" s="166" t="s">
        <v>559</v>
      </c>
      <c r="C37" s="207" t="s">
        <v>485</v>
      </c>
      <c r="D37" s="250">
        <v>3097.57</v>
      </c>
      <c r="E37" s="250">
        <v>565.12999999999988</v>
      </c>
      <c r="F37" s="250">
        <v>3069.3339999999994</v>
      </c>
      <c r="G37" s="250"/>
      <c r="H37" s="250">
        <v>366.48399999999998</v>
      </c>
      <c r="I37" s="250">
        <v>366.48399999999998</v>
      </c>
      <c r="J37" s="250">
        <v>6732.0339999999997</v>
      </c>
      <c r="K37" s="250">
        <v>1812.672</v>
      </c>
      <c r="L37" s="351">
        <v>432</v>
      </c>
      <c r="M37" s="250" t="s">
        <v>387</v>
      </c>
      <c r="N37" s="235" t="s">
        <v>365</v>
      </c>
      <c r="O37" s="211">
        <v>31845</v>
      </c>
      <c r="P37" s="238"/>
      <c r="Q37" s="235">
        <v>1734</v>
      </c>
      <c r="R37" s="252">
        <v>10</v>
      </c>
      <c r="S37" s="352"/>
      <c r="T37" s="251" t="s">
        <v>511</v>
      </c>
      <c r="U37" s="251">
        <v>2</v>
      </c>
      <c r="V37" s="353"/>
      <c r="W37" s="242"/>
      <c r="X37" s="242"/>
      <c r="Y37" s="242"/>
      <c r="Z37" s="242"/>
      <c r="AA37" s="242"/>
      <c r="AB37" s="242"/>
    </row>
    <row r="38" spans="2:29" ht="146.25" customHeight="1" x14ac:dyDescent="0.35">
      <c r="B38" s="166" t="s">
        <v>559</v>
      </c>
      <c r="C38" s="207" t="s">
        <v>485</v>
      </c>
      <c r="D38" s="250">
        <v>1713.2079999999999</v>
      </c>
      <c r="E38" s="250">
        <v>37.150999999999996</v>
      </c>
      <c r="F38" s="250">
        <v>4162.7039999999997</v>
      </c>
      <c r="G38" s="250"/>
      <c r="H38" s="250">
        <v>417.33800000000002</v>
      </c>
      <c r="I38" s="250">
        <v>417.33800000000002</v>
      </c>
      <c r="J38" s="250">
        <v>5913.0630000000001</v>
      </c>
      <c r="K38" s="250">
        <v>1812.672</v>
      </c>
      <c r="L38" s="351">
        <v>0</v>
      </c>
      <c r="M38" s="250" t="s">
        <v>391</v>
      </c>
      <c r="N38" s="235" t="s">
        <v>365</v>
      </c>
      <c r="O38" s="211">
        <v>35977</v>
      </c>
      <c r="P38" s="238"/>
      <c r="Q38" s="235">
        <v>1734</v>
      </c>
      <c r="R38" s="252">
        <v>5</v>
      </c>
      <c r="S38" s="352"/>
      <c r="T38" s="251" t="s">
        <v>512</v>
      </c>
      <c r="U38" s="251">
        <v>1</v>
      </c>
      <c r="V38" s="353"/>
      <c r="W38" s="242"/>
      <c r="X38" s="242"/>
      <c r="Y38" s="242"/>
      <c r="Z38" s="242"/>
      <c r="AA38" s="242"/>
      <c r="AB38" s="242"/>
    </row>
    <row r="39" spans="2:29" ht="146.25" customHeight="1" x14ac:dyDescent="0.35">
      <c r="B39" s="166" t="s">
        <v>559</v>
      </c>
      <c r="C39" s="207" t="s">
        <v>485</v>
      </c>
      <c r="D39" s="250">
        <v>2606.982</v>
      </c>
      <c r="E39" s="250">
        <v>473.12299999999993</v>
      </c>
      <c r="F39" s="250">
        <v>2571.4499999999998</v>
      </c>
      <c r="G39" s="250"/>
      <c r="H39" s="250">
        <v>368.38800000000003</v>
      </c>
      <c r="I39" s="250">
        <v>368.38800000000003</v>
      </c>
      <c r="J39" s="250">
        <v>5651.5550000000003</v>
      </c>
      <c r="K39" s="250">
        <v>1657.09824</v>
      </c>
      <c r="L39" s="351">
        <v>240</v>
      </c>
      <c r="M39" s="250" t="s">
        <v>387</v>
      </c>
      <c r="N39" s="235" t="s">
        <v>365</v>
      </c>
      <c r="O39" s="211">
        <v>33493</v>
      </c>
      <c r="P39" s="238"/>
      <c r="Q39" s="235">
        <v>1734</v>
      </c>
      <c r="R39" s="252">
        <v>10</v>
      </c>
      <c r="S39" s="352"/>
      <c r="T39" s="251" t="s">
        <v>513</v>
      </c>
      <c r="U39" s="251">
        <v>8</v>
      </c>
      <c r="V39" s="353"/>
      <c r="W39" s="242"/>
      <c r="X39" s="242"/>
      <c r="Y39" s="242"/>
      <c r="Z39" s="242"/>
      <c r="AA39" s="242"/>
      <c r="AB39" s="242"/>
    </row>
    <row r="40" spans="2:29" ht="146.25" customHeight="1" x14ac:dyDescent="0.35">
      <c r="B40" s="166" t="s">
        <v>559</v>
      </c>
      <c r="C40" s="207" t="s">
        <v>485</v>
      </c>
      <c r="D40" s="250">
        <v>2118.288</v>
      </c>
      <c r="E40" s="250">
        <v>215.75200000000001</v>
      </c>
      <c r="F40" s="250">
        <v>0</v>
      </c>
      <c r="G40" s="250"/>
      <c r="H40" s="250">
        <v>150.29400000000001</v>
      </c>
      <c r="I40" s="250">
        <v>150.29400000000001</v>
      </c>
      <c r="J40" s="250">
        <v>2334.04</v>
      </c>
      <c r="K40" s="250">
        <v>677.85216000000003</v>
      </c>
      <c r="L40" s="351">
        <v>0</v>
      </c>
      <c r="M40" s="250" t="s">
        <v>390</v>
      </c>
      <c r="N40" s="235" t="s">
        <v>365</v>
      </c>
      <c r="O40" s="211">
        <v>42401</v>
      </c>
      <c r="P40" s="238"/>
      <c r="Q40" s="235">
        <v>1734</v>
      </c>
      <c r="R40" s="252">
        <v>10</v>
      </c>
      <c r="S40" s="352"/>
      <c r="T40" s="251" t="s">
        <v>514</v>
      </c>
      <c r="U40" s="251">
        <v>4</v>
      </c>
      <c r="V40" s="353"/>
      <c r="W40" s="242"/>
      <c r="X40" s="242"/>
      <c r="Y40" s="242"/>
      <c r="Z40" s="242"/>
      <c r="AA40" s="242"/>
      <c r="AB40" s="242"/>
    </row>
    <row r="41" spans="2:29" ht="146.25" customHeight="1" x14ac:dyDescent="0.35">
      <c r="B41" s="166" t="s">
        <v>559</v>
      </c>
      <c r="C41" s="207" t="s">
        <v>485</v>
      </c>
      <c r="D41" s="250">
        <v>3013.0940000000001</v>
      </c>
      <c r="E41" s="250">
        <v>117.37100000000001</v>
      </c>
      <c r="F41" s="250">
        <v>1091.7759999999994</v>
      </c>
      <c r="G41" s="250"/>
      <c r="H41" s="250">
        <v>289.33499999999998</v>
      </c>
      <c r="I41" s="250">
        <v>289.33499999999998</v>
      </c>
      <c r="J41" s="250">
        <v>4222.241</v>
      </c>
      <c r="K41" s="250">
        <v>1313.5583999999999</v>
      </c>
      <c r="L41" s="351">
        <v>0</v>
      </c>
      <c r="M41" s="250" t="s">
        <v>387</v>
      </c>
      <c r="N41" s="235" t="s">
        <v>365</v>
      </c>
      <c r="O41" s="211">
        <v>42509</v>
      </c>
      <c r="P41" s="238"/>
      <c r="Q41" s="235">
        <v>1734</v>
      </c>
      <c r="R41" s="252">
        <v>10</v>
      </c>
      <c r="S41" s="352"/>
      <c r="T41" s="251" t="s">
        <v>515</v>
      </c>
      <c r="U41" s="251">
        <v>7</v>
      </c>
      <c r="V41" s="353"/>
      <c r="W41" s="242"/>
      <c r="X41" s="242"/>
      <c r="Y41" s="242"/>
      <c r="Z41" s="242"/>
      <c r="AA41" s="242"/>
      <c r="AB41" s="242"/>
    </row>
    <row r="42" spans="2:29" ht="146.25" customHeight="1" x14ac:dyDescent="0.35">
      <c r="B42" s="166" t="s">
        <v>559</v>
      </c>
      <c r="C42" s="207" t="s">
        <v>485</v>
      </c>
      <c r="D42" s="250">
        <v>3247</v>
      </c>
      <c r="E42" s="250">
        <v>204.42800000000003</v>
      </c>
      <c r="F42" s="250">
        <v>993.11800000000005</v>
      </c>
      <c r="G42" s="250"/>
      <c r="H42" s="250">
        <v>300.84100000000001</v>
      </c>
      <c r="I42" s="250">
        <v>300.84100000000001</v>
      </c>
      <c r="J42" s="250">
        <v>4444.5460000000003</v>
      </c>
      <c r="K42" s="250">
        <v>1356.8377599999999</v>
      </c>
      <c r="L42" s="351">
        <v>0</v>
      </c>
      <c r="M42" s="250" t="s">
        <v>387</v>
      </c>
      <c r="N42" s="235" t="s">
        <v>365</v>
      </c>
      <c r="O42" s="211">
        <v>42522</v>
      </c>
      <c r="P42" s="238"/>
      <c r="Q42" s="235">
        <v>1734</v>
      </c>
      <c r="R42" s="252">
        <v>10</v>
      </c>
      <c r="S42" s="352"/>
      <c r="T42" s="251" t="s">
        <v>516</v>
      </c>
      <c r="U42" s="251">
        <v>1</v>
      </c>
      <c r="V42" s="353"/>
      <c r="W42" s="242"/>
      <c r="X42" s="242"/>
      <c r="Y42" s="242"/>
      <c r="Z42" s="242"/>
      <c r="AA42" s="242"/>
      <c r="AB42" s="242"/>
    </row>
    <row r="43" spans="2:29" ht="146.25" customHeight="1" x14ac:dyDescent="0.35">
      <c r="B43" s="166" t="s">
        <v>559</v>
      </c>
      <c r="C43" s="207" t="s">
        <v>485</v>
      </c>
      <c r="D43" s="250">
        <v>2230.2219999999998</v>
      </c>
      <c r="E43" s="250">
        <v>225.20100000000002</v>
      </c>
      <c r="F43" s="250">
        <v>429.92600000000022</v>
      </c>
      <c r="G43" s="250"/>
      <c r="H43" s="250">
        <v>186.48600000000002</v>
      </c>
      <c r="I43" s="250">
        <v>186.48600000000002</v>
      </c>
      <c r="J43" s="250">
        <v>2885.3489999999997</v>
      </c>
      <c r="K43" s="250">
        <v>851.24735999999996</v>
      </c>
      <c r="L43" s="351">
        <v>0</v>
      </c>
      <c r="M43" s="250" t="s">
        <v>387</v>
      </c>
      <c r="N43" s="235" t="s">
        <v>365</v>
      </c>
      <c r="O43" s="211">
        <v>44503</v>
      </c>
      <c r="P43" s="238"/>
      <c r="Q43" s="235">
        <v>1734</v>
      </c>
      <c r="R43" s="252">
        <v>10</v>
      </c>
      <c r="S43" s="352"/>
      <c r="T43" s="251" t="s">
        <v>509</v>
      </c>
      <c r="U43" s="251">
        <v>8</v>
      </c>
      <c r="V43" s="353"/>
      <c r="W43" s="242"/>
      <c r="X43" s="242"/>
      <c r="Y43" s="242"/>
      <c r="Z43" s="242"/>
      <c r="AA43" s="242"/>
      <c r="AB43" s="242"/>
    </row>
    <row r="44" spans="2:29" x14ac:dyDescent="0.35">
      <c r="B44" s="135"/>
      <c r="Y44" s="126"/>
      <c r="Z44" s="126"/>
      <c r="AA44" s="126"/>
      <c r="AB44" s="126"/>
      <c r="AC44" s="126"/>
    </row>
    <row r="45" spans="2:29" x14ac:dyDescent="0.35">
      <c r="B45" s="135"/>
      <c r="Y45" s="126"/>
      <c r="Z45" s="126"/>
      <c r="AA45" s="126"/>
      <c r="AB45" s="126"/>
      <c r="AC45" s="126"/>
    </row>
    <row r="46" spans="2:29" ht="19" thickBot="1" x14ac:dyDescent="0.5">
      <c r="B46" s="18" t="s">
        <v>17</v>
      </c>
      <c r="C46" s="1"/>
      <c r="E46"/>
    </row>
    <row r="47" spans="2:29" ht="33.75" customHeight="1" x14ac:dyDescent="0.35">
      <c r="B47" s="19" t="s">
        <v>344</v>
      </c>
      <c r="C47" s="19" t="s">
        <v>2</v>
      </c>
      <c r="D47" s="19" t="s">
        <v>21</v>
      </c>
      <c r="E47" s="19" t="s">
        <v>1</v>
      </c>
      <c r="F47" s="19" t="s">
        <v>22</v>
      </c>
      <c r="G47" s="19" t="s">
        <v>14</v>
      </c>
      <c r="H47" s="19" t="s">
        <v>18</v>
      </c>
      <c r="I47" s="19" t="s">
        <v>15</v>
      </c>
      <c r="J47" s="19" t="s">
        <v>10</v>
      </c>
      <c r="K47" s="19" t="s">
        <v>23</v>
      </c>
      <c r="L47" s="19" t="s">
        <v>16</v>
      </c>
      <c r="M47" s="19" t="s">
        <v>3</v>
      </c>
      <c r="N47" s="19" t="s">
        <v>11</v>
      </c>
      <c r="O47" s="19" t="s">
        <v>4</v>
      </c>
      <c r="P47" s="19" t="s">
        <v>5</v>
      </c>
      <c r="Q47" s="19" t="s">
        <v>24</v>
      </c>
      <c r="R47" s="19" t="s">
        <v>25</v>
      </c>
      <c r="S47" s="19" t="s">
        <v>26</v>
      </c>
      <c r="T47" s="19" t="s">
        <v>27</v>
      </c>
      <c r="U47" s="19" t="s">
        <v>6</v>
      </c>
      <c r="V47" s="19" t="s">
        <v>7</v>
      </c>
      <c r="W47" s="19" t="s">
        <v>28</v>
      </c>
      <c r="X47" s="19" t="s">
        <v>29</v>
      </c>
      <c r="Y47" s="19" t="s">
        <v>30</v>
      </c>
      <c r="Z47" s="19" t="s">
        <v>31</v>
      </c>
      <c r="AA47" s="57" t="s">
        <v>8</v>
      </c>
      <c r="AB47" s="57" t="s">
        <v>9</v>
      </c>
    </row>
    <row r="48" spans="2:29" x14ac:dyDescent="0.35">
      <c r="B48" s="4"/>
      <c r="C48" s="194"/>
      <c r="D48" s="5"/>
      <c r="E48" s="5"/>
      <c r="F48" s="5"/>
      <c r="G48" s="5"/>
      <c r="H48" s="5"/>
      <c r="I48" s="5"/>
      <c r="J48" s="5"/>
      <c r="K48" s="5"/>
      <c r="L48" s="4"/>
      <c r="M48" s="4"/>
      <c r="N48" s="4"/>
      <c r="O48" s="6"/>
      <c r="P48" s="7"/>
      <c r="Q48" s="8"/>
      <c r="R48" s="8"/>
      <c r="S48" s="8"/>
      <c r="T48" s="9"/>
      <c r="U48" s="9"/>
      <c r="V48" s="10"/>
      <c r="W48" s="36"/>
      <c r="X48" s="36" t="s">
        <v>0</v>
      </c>
      <c r="Y48" s="36"/>
      <c r="Z48" s="36"/>
      <c r="AA48" s="36"/>
      <c r="AB48" s="36"/>
    </row>
    <row r="49" spans="2:29" x14ac:dyDescent="0.35">
      <c r="B49" s="4"/>
      <c r="C49" s="195"/>
      <c r="D49" s="5"/>
      <c r="E49" s="5"/>
      <c r="F49" s="5"/>
      <c r="G49" s="5"/>
      <c r="H49" s="5"/>
      <c r="I49" s="5"/>
      <c r="J49" s="5"/>
      <c r="K49" s="5"/>
      <c r="L49" s="4"/>
      <c r="M49" s="4"/>
      <c r="N49" s="4"/>
      <c r="O49" s="6"/>
      <c r="P49" s="7"/>
      <c r="Q49" s="8"/>
      <c r="R49" s="8"/>
      <c r="S49" s="8"/>
      <c r="T49" s="9"/>
      <c r="U49" s="9"/>
      <c r="V49" s="10"/>
      <c r="W49" s="36"/>
      <c r="X49" s="36"/>
      <c r="Y49" s="36"/>
      <c r="Z49" s="36"/>
      <c r="AA49" s="36"/>
      <c r="AB49" s="36"/>
    </row>
    <row r="50" spans="2:29" x14ac:dyDescent="0.35">
      <c r="B50" s="4"/>
      <c r="C50" s="195"/>
      <c r="D50" s="5"/>
      <c r="E50" s="5"/>
      <c r="F50" s="5"/>
      <c r="G50" s="5"/>
      <c r="H50" s="5"/>
      <c r="I50" s="5"/>
      <c r="J50" s="5"/>
      <c r="K50" s="5"/>
      <c r="L50" s="4"/>
      <c r="M50" s="4"/>
      <c r="N50" s="4"/>
      <c r="O50" s="6"/>
      <c r="P50" s="7"/>
      <c r="Q50" s="8"/>
      <c r="R50" s="8"/>
      <c r="S50" s="8"/>
      <c r="T50" s="9"/>
      <c r="U50" s="9"/>
      <c r="V50" s="10"/>
      <c r="W50" s="36"/>
      <c r="X50" s="36"/>
      <c r="Y50" s="36"/>
      <c r="Z50" s="36"/>
      <c r="AA50" s="36"/>
      <c r="AB50" s="36"/>
    </row>
    <row r="51" spans="2:29" x14ac:dyDescent="0.35">
      <c r="B51" s="11"/>
      <c r="C51" s="195"/>
      <c r="D51" s="12"/>
      <c r="E51" s="12"/>
      <c r="F51" s="12"/>
      <c r="G51" s="12"/>
      <c r="H51" s="12"/>
      <c r="I51" s="12"/>
      <c r="J51" s="12"/>
      <c r="K51" s="12"/>
      <c r="L51" s="11"/>
      <c r="M51" s="11"/>
      <c r="N51" s="11"/>
      <c r="O51" s="37"/>
      <c r="P51" s="13"/>
      <c r="Q51" s="14"/>
      <c r="R51" s="14"/>
      <c r="S51" s="14"/>
      <c r="T51" s="38"/>
      <c r="U51" s="38"/>
      <c r="V51" s="15"/>
      <c r="W51" s="39"/>
      <c r="X51" s="39"/>
      <c r="Y51" s="39"/>
      <c r="Z51" s="39"/>
      <c r="AA51" s="39"/>
      <c r="AB51" s="39"/>
    </row>
    <row r="52" spans="2:29" x14ac:dyDescent="0.35">
      <c r="B52" s="11"/>
      <c r="C52" s="195"/>
      <c r="D52" s="12"/>
      <c r="E52" s="12"/>
      <c r="F52" s="12"/>
      <c r="G52" s="12"/>
      <c r="H52" s="12"/>
      <c r="I52" s="12"/>
      <c r="J52" s="12"/>
      <c r="K52" s="12"/>
      <c r="L52" s="11"/>
      <c r="M52" s="11"/>
      <c r="N52" s="11"/>
      <c r="O52" s="37"/>
      <c r="P52" s="13"/>
      <c r="Q52" s="14"/>
      <c r="R52" s="14"/>
      <c r="S52" s="14"/>
      <c r="T52" s="38"/>
      <c r="U52" s="38"/>
      <c r="V52" s="16"/>
      <c r="W52" s="39"/>
      <c r="X52" s="39"/>
      <c r="Y52" s="39"/>
      <c r="Z52" s="39"/>
      <c r="AA52" s="39"/>
      <c r="AB52" s="39"/>
    </row>
    <row r="53" spans="2:29" x14ac:dyDescent="0.35">
      <c r="B53" s="11"/>
      <c r="C53" s="195"/>
      <c r="D53" s="12"/>
      <c r="E53" s="12"/>
      <c r="F53" s="12"/>
      <c r="G53" s="12"/>
      <c r="H53" s="12"/>
      <c r="I53" s="12"/>
      <c r="J53" s="12"/>
      <c r="K53" s="12"/>
      <c r="L53" s="11"/>
      <c r="M53" s="11"/>
      <c r="N53" s="11"/>
      <c r="O53" s="37"/>
      <c r="P53" s="13"/>
      <c r="Q53" s="14"/>
      <c r="R53" s="14"/>
      <c r="S53" s="14"/>
      <c r="T53" s="38"/>
      <c r="U53" s="38"/>
      <c r="V53" s="16"/>
      <c r="W53" s="39"/>
      <c r="X53" s="39"/>
      <c r="Y53" s="39"/>
      <c r="Z53" s="39"/>
      <c r="AA53" s="39"/>
      <c r="AB53" s="39"/>
    </row>
    <row r="54" spans="2:29" x14ac:dyDescent="0.35">
      <c r="B54" s="127"/>
      <c r="C54" s="127"/>
      <c r="D54" s="128"/>
      <c r="E54" s="196"/>
      <c r="F54" s="129"/>
      <c r="G54" s="129"/>
      <c r="H54" s="129"/>
      <c r="I54" s="129"/>
      <c r="J54" s="129"/>
      <c r="K54" s="129"/>
      <c r="L54" s="129"/>
      <c r="M54" s="127"/>
      <c r="N54" s="127"/>
      <c r="O54" s="127"/>
      <c r="P54" s="130"/>
      <c r="Q54" s="131"/>
      <c r="R54" s="132"/>
      <c r="S54" s="132"/>
      <c r="T54" s="132"/>
      <c r="U54" s="133"/>
      <c r="V54" s="133"/>
      <c r="W54" s="134"/>
      <c r="X54" s="126"/>
      <c r="Y54" s="126"/>
      <c r="Z54" s="126"/>
      <c r="AA54" s="126"/>
      <c r="AB54" s="126"/>
      <c r="AC54" s="126"/>
    </row>
    <row r="55" spans="2:29" x14ac:dyDescent="0.35">
      <c r="B55" s="127"/>
      <c r="C55" s="127"/>
      <c r="D55" s="128"/>
      <c r="E55" s="196"/>
      <c r="F55" s="129"/>
      <c r="G55" s="129"/>
      <c r="H55" s="129"/>
      <c r="I55" s="129"/>
      <c r="J55" s="129"/>
      <c r="K55" s="129"/>
      <c r="L55" s="129"/>
      <c r="M55" s="127"/>
      <c r="N55" s="127"/>
      <c r="O55" s="127"/>
      <c r="P55" s="130"/>
      <c r="Q55" s="131"/>
      <c r="R55" s="132"/>
      <c r="S55" s="132"/>
      <c r="T55" s="132"/>
      <c r="U55" s="133"/>
      <c r="V55" s="133"/>
      <c r="W55" s="134"/>
      <c r="X55" s="126"/>
      <c r="Y55" s="126"/>
      <c r="Z55" s="126"/>
      <c r="AA55" s="126"/>
      <c r="AB55" s="126"/>
      <c r="AC55" s="126"/>
    </row>
    <row r="56" spans="2:29" x14ac:dyDescent="0.35">
      <c r="B56" s="135"/>
      <c r="C56" s="135"/>
      <c r="F56" s="135"/>
      <c r="G56" s="135"/>
      <c r="H56" s="135"/>
      <c r="I56" s="135"/>
      <c r="J56" s="135"/>
      <c r="K56" s="135"/>
      <c r="L56" s="135"/>
      <c r="M56" s="135"/>
      <c r="N56" s="135"/>
      <c r="O56" s="135"/>
      <c r="P56" s="135"/>
      <c r="Q56" s="135"/>
    </row>
  </sheetData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71"/>
  <sheetViews>
    <sheetView zoomScaleNormal="100" workbookViewId="0">
      <pane xSplit="2" ySplit="9" topLeftCell="L10" activePane="bottomRight" state="frozen"/>
      <selection activeCell="L5" sqref="L5"/>
      <selection pane="topRight" activeCell="L5" sqref="L5"/>
      <selection pane="bottomLeft" activeCell="L5" sqref="L5"/>
      <selection pane="bottomRight" activeCell="V10" sqref="V9:V10"/>
    </sheetView>
  </sheetViews>
  <sheetFormatPr defaultColWidth="11.453125" defaultRowHeight="14.5" x14ac:dyDescent="0.35"/>
  <cols>
    <col min="1" max="1" width="5.54296875" customWidth="1"/>
    <col min="2" max="2" width="31" customWidth="1"/>
    <col min="3" max="3" width="24.1796875" customWidth="1"/>
    <col min="4" max="30" width="11.7265625" customWidth="1"/>
  </cols>
  <sheetData>
    <row r="2" spans="2:28" ht="18.5" x14ac:dyDescent="0.45">
      <c r="B2" s="273" t="s">
        <v>13</v>
      </c>
      <c r="C2" s="1"/>
    </row>
    <row r="3" spans="2:28" x14ac:dyDescent="0.35">
      <c r="B3" s="23"/>
      <c r="C3" s="23"/>
      <c r="F3" s="23"/>
      <c r="G3" s="208"/>
      <c r="Q3" s="23"/>
      <c r="R3" s="23"/>
      <c r="S3" s="23"/>
    </row>
    <row r="4" spans="2:28" ht="15.5" x14ac:dyDescent="0.35">
      <c r="B4" s="62" t="s">
        <v>12</v>
      </c>
      <c r="C4" s="144" t="s">
        <v>481</v>
      </c>
      <c r="D4" s="145"/>
      <c r="E4" s="146"/>
      <c r="G4" s="208"/>
      <c r="Q4" s="23"/>
      <c r="R4" s="23"/>
      <c r="S4" s="23"/>
    </row>
    <row r="5" spans="2:28" ht="15.5" x14ac:dyDescent="0.35">
      <c r="B5" s="62" t="s">
        <v>20</v>
      </c>
      <c r="C5" s="144" t="s">
        <v>560</v>
      </c>
      <c r="D5" s="145"/>
      <c r="E5" s="147"/>
      <c r="Q5" s="23"/>
      <c r="R5" s="23"/>
      <c r="S5" s="23"/>
    </row>
    <row r="6" spans="2:28" ht="15.5" x14ac:dyDescent="0.35">
      <c r="B6" s="64" t="s">
        <v>19</v>
      </c>
      <c r="C6" s="144" t="s">
        <v>561</v>
      </c>
      <c r="D6" s="145"/>
      <c r="E6" s="147"/>
      <c r="Q6" s="23"/>
      <c r="R6" s="23"/>
      <c r="S6" s="23"/>
    </row>
    <row r="7" spans="2:28" ht="15.5" x14ac:dyDescent="0.35">
      <c r="B7" s="62" t="s">
        <v>32</v>
      </c>
      <c r="C7" s="148" t="s">
        <v>484</v>
      </c>
      <c r="D7" s="103"/>
      <c r="E7" s="149"/>
    </row>
    <row r="8" spans="2:28" ht="16" thickBot="1" x14ac:dyDescent="0.4">
      <c r="B8" s="70"/>
      <c r="C8" s="103"/>
      <c r="D8" s="103"/>
    </row>
    <row r="9" spans="2:28" ht="52.5" x14ac:dyDescent="0.35">
      <c r="B9" s="19" t="s">
        <v>344</v>
      </c>
      <c r="C9" s="19" t="s">
        <v>2</v>
      </c>
      <c r="D9" s="19" t="s">
        <v>21</v>
      </c>
      <c r="E9" s="19" t="s">
        <v>1</v>
      </c>
      <c r="F9" s="19" t="s">
        <v>22</v>
      </c>
      <c r="G9" s="19" t="s">
        <v>14</v>
      </c>
      <c r="H9" s="19" t="s">
        <v>18</v>
      </c>
      <c r="I9" s="19" t="s">
        <v>15</v>
      </c>
      <c r="J9" s="19" t="s">
        <v>10</v>
      </c>
      <c r="K9" s="19" t="s">
        <v>23</v>
      </c>
      <c r="L9" s="19" t="s">
        <v>16</v>
      </c>
      <c r="M9" s="19" t="s">
        <v>3</v>
      </c>
      <c r="N9" s="19" t="s">
        <v>11</v>
      </c>
      <c r="O9" s="19" t="s">
        <v>4</v>
      </c>
      <c r="P9" s="19" t="s">
        <v>5</v>
      </c>
      <c r="Q9" s="19" t="s">
        <v>24</v>
      </c>
      <c r="R9" s="19" t="s">
        <v>25</v>
      </c>
      <c r="S9" s="19" t="s">
        <v>26</v>
      </c>
      <c r="T9" s="19" t="s">
        <v>27</v>
      </c>
      <c r="U9" s="19" t="s">
        <v>6</v>
      </c>
      <c r="V9" s="19" t="s">
        <v>7</v>
      </c>
      <c r="W9" s="19" t="s">
        <v>28</v>
      </c>
      <c r="X9" s="19" t="s">
        <v>29</v>
      </c>
      <c r="Y9" s="19" t="s">
        <v>30</v>
      </c>
      <c r="Z9" s="19" t="s">
        <v>31</v>
      </c>
      <c r="AA9" s="57" t="s">
        <v>8</v>
      </c>
      <c r="AB9" s="57" t="s">
        <v>9</v>
      </c>
    </row>
    <row r="10" spans="2:28" ht="24" x14ac:dyDescent="0.35">
      <c r="B10" s="4"/>
      <c r="C10" s="203" t="s">
        <v>485</v>
      </c>
      <c r="D10" s="307">
        <v>30100.639999999999</v>
      </c>
      <c r="E10" s="307">
        <v>3875.7599999999993</v>
      </c>
      <c r="F10" s="307">
        <v>12628.440000000002</v>
      </c>
      <c r="G10" s="307"/>
      <c r="H10" s="307">
        <v>2603.2599999999998</v>
      </c>
      <c r="I10" s="307">
        <v>2603.2599999999998</v>
      </c>
      <c r="J10" s="307">
        <v>46604.840000000004</v>
      </c>
      <c r="K10" s="307">
        <v>13673.305600000002</v>
      </c>
      <c r="L10" s="151">
        <v>4500</v>
      </c>
      <c r="M10" s="4" t="s">
        <v>387</v>
      </c>
      <c r="N10" s="4" t="s">
        <v>365</v>
      </c>
      <c r="O10" s="325">
        <v>37438</v>
      </c>
      <c r="P10" s="7"/>
      <c r="Q10" s="4">
        <v>1734</v>
      </c>
      <c r="R10" s="4">
        <v>100</v>
      </c>
      <c r="S10" s="357"/>
      <c r="T10" s="7" t="s">
        <v>486</v>
      </c>
      <c r="U10" s="7">
        <v>2</v>
      </c>
      <c r="V10" s="293"/>
      <c r="W10" s="36"/>
      <c r="X10" s="36" t="s">
        <v>0</v>
      </c>
      <c r="Y10" s="36"/>
      <c r="Z10" s="36"/>
      <c r="AA10" s="36"/>
      <c r="AB10" s="36"/>
    </row>
    <row r="11" spans="2:28" ht="24" x14ac:dyDescent="0.35">
      <c r="B11" s="11"/>
      <c r="C11" s="203" t="s">
        <v>485</v>
      </c>
      <c r="D11" s="316">
        <v>30210.82</v>
      </c>
      <c r="E11" s="316">
        <v>1888.5100000000002</v>
      </c>
      <c r="F11" s="316">
        <v>6628.4399999999951</v>
      </c>
      <c r="G11" s="316"/>
      <c r="H11" s="316">
        <v>2587.4299999999998</v>
      </c>
      <c r="I11" s="316">
        <v>2587.4299999999998</v>
      </c>
      <c r="J11" s="316">
        <v>38727.769999999997</v>
      </c>
      <c r="K11" s="316">
        <v>11788.563199999999</v>
      </c>
      <c r="L11" s="152">
        <v>0</v>
      </c>
      <c r="M11" s="11" t="s">
        <v>387</v>
      </c>
      <c r="N11" s="11" t="s">
        <v>365</v>
      </c>
      <c r="O11" s="357">
        <v>38432</v>
      </c>
      <c r="P11" s="13"/>
      <c r="Q11" s="11">
        <v>1734</v>
      </c>
      <c r="R11" s="11">
        <v>100</v>
      </c>
      <c r="S11" s="357"/>
      <c r="T11" s="13" t="s">
        <v>486</v>
      </c>
      <c r="U11" s="13">
        <v>2</v>
      </c>
      <c r="V11" s="142"/>
      <c r="W11" s="39"/>
      <c r="X11" s="39"/>
      <c r="Y11" s="39"/>
      <c r="Z11" s="39"/>
      <c r="AA11" s="39"/>
      <c r="AB11" s="39"/>
    </row>
    <row r="12" spans="2:28" ht="24" x14ac:dyDescent="0.35">
      <c r="B12" s="11"/>
      <c r="C12" s="203" t="s">
        <v>485</v>
      </c>
      <c r="D12" s="316">
        <v>24502.799999999999</v>
      </c>
      <c r="E12" s="316">
        <v>0</v>
      </c>
      <c r="F12" s="316">
        <v>5501.58</v>
      </c>
      <c r="G12" s="316"/>
      <c r="H12" s="316">
        <v>2143.17</v>
      </c>
      <c r="I12" s="316">
        <v>2143.17</v>
      </c>
      <c r="J12" s="316">
        <v>30004.38</v>
      </c>
      <c r="K12" s="316">
        <v>9601.4</v>
      </c>
      <c r="L12" s="152">
        <v>0</v>
      </c>
      <c r="M12" s="11" t="s">
        <v>387</v>
      </c>
      <c r="N12" s="11" t="s">
        <v>365</v>
      </c>
      <c r="O12" s="357">
        <v>38421</v>
      </c>
      <c r="P12" s="13"/>
      <c r="Q12" s="11">
        <v>1734</v>
      </c>
      <c r="R12" s="11">
        <v>83</v>
      </c>
      <c r="S12" s="357">
        <v>46974</v>
      </c>
      <c r="T12" s="13" t="s">
        <v>486</v>
      </c>
      <c r="U12" s="13">
        <v>2</v>
      </c>
      <c r="V12" s="142"/>
      <c r="W12" s="39"/>
      <c r="X12" s="39"/>
      <c r="Y12" s="39"/>
      <c r="Z12" s="39"/>
      <c r="AA12" s="39"/>
      <c r="AB12" s="39"/>
    </row>
    <row r="13" spans="2:28" ht="24" x14ac:dyDescent="0.35">
      <c r="B13" s="11"/>
      <c r="C13" s="203" t="s">
        <v>485</v>
      </c>
      <c r="D13" s="316">
        <v>22338.579999999998</v>
      </c>
      <c r="E13" s="316">
        <v>3209.0200000000004</v>
      </c>
      <c r="F13" s="316">
        <v>4971.4000000000015</v>
      </c>
      <c r="G13" s="316"/>
      <c r="H13" s="316">
        <v>1940.59</v>
      </c>
      <c r="I13" s="316">
        <v>1940.59</v>
      </c>
      <c r="J13" s="316">
        <v>30519</v>
      </c>
      <c r="K13" s="316">
        <v>8739.1936000000005</v>
      </c>
      <c r="L13" s="152">
        <v>0</v>
      </c>
      <c r="M13" s="11" t="s">
        <v>387</v>
      </c>
      <c r="N13" s="11" t="s">
        <v>365</v>
      </c>
      <c r="O13" s="357">
        <v>38293</v>
      </c>
      <c r="P13" s="13"/>
      <c r="Q13" s="11">
        <v>1734</v>
      </c>
      <c r="R13" s="11">
        <v>75</v>
      </c>
      <c r="S13" s="357">
        <v>48086</v>
      </c>
      <c r="T13" s="13" t="s">
        <v>486</v>
      </c>
      <c r="U13" s="13">
        <v>2</v>
      </c>
      <c r="V13" s="203"/>
      <c r="W13" s="39"/>
      <c r="X13" s="39"/>
      <c r="Y13" s="39"/>
      <c r="Z13" s="39"/>
      <c r="AA13" s="39"/>
      <c r="AB13" s="39"/>
    </row>
    <row r="14" spans="2:28" ht="24" x14ac:dyDescent="0.35">
      <c r="B14" s="11"/>
      <c r="C14" s="203" t="s">
        <v>485</v>
      </c>
      <c r="D14" s="316">
        <v>29778.699999999997</v>
      </c>
      <c r="E14" s="316">
        <v>5587.51</v>
      </c>
      <c r="F14" s="316">
        <v>6628.4400000000023</v>
      </c>
      <c r="G14" s="316"/>
      <c r="H14" s="316">
        <v>2576.81</v>
      </c>
      <c r="I14" s="316">
        <v>2576.81</v>
      </c>
      <c r="J14" s="316">
        <v>41994.65</v>
      </c>
      <c r="K14" s="316">
        <v>11650.284799999999</v>
      </c>
      <c r="L14" s="152">
        <v>0</v>
      </c>
      <c r="M14" s="11" t="s">
        <v>387</v>
      </c>
      <c r="N14" s="11" t="s">
        <v>365</v>
      </c>
      <c r="O14" s="357">
        <v>39188</v>
      </c>
      <c r="P14" s="13"/>
      <c r="Q14" s="11">
        <v>1734</v>
      </c>
      <c r="R14" s="11">
        <v>100</v>
      </c>
      <c r="S14" s="357"/>
      <c r="T14" s="13" t="s">
        <v>486</v>
      </c>
      <c r="U14" s="13">
        <v>2</v>
      </c>
      <c r="V14" s="203"/>
      <c r="W14" s="39"/>
      <c r="X14" s="39"/>
      <c r="Y14" s="39"/>
      <c r="Z14" s="39"/>
      <c r="AA14" s="39"/>
      <c r="AB14" s="39"/>
    </row>
    <row r="15" spans="2:28" ht="24" x14ac:dyDescent="0.35">
      <c r="B15" s="11"/>
      <c r="C15" s="203" t="s">
        <v>485</v>
      </c>
      <c r="D15" s="316">
        <v>23155.200000000001</v>
      </c>
      <c r="E15" s="316">
        <v>1233.3500000000001</v>
      </c>
      <c r="F15" s="316">
        <v>386.81999999999971</v>
      </c>
      <c r="G15" s="316"/>
      <c r="H15" s="316">
        <v>1647.75</v>
      </c>
      <c r="I15" s="316">
        <v>1647.75</v>
      </c>
      <c r="J15" s="316">
        <v>24775.37</v>
      </c>
      <c r="K15" s="316">
        <v>7533.4464000000007</v>
      </c>
      <c r="L15" s="152">
        <v>0</v>
      </c>
      <c r="M15" s="11" t="s">
        <v>387</v>
      </c>
      <c r="N15" s="11" t="s">
        <v>365</v>
      </c>
      <c r="O15" s="357">
        <v>38505</v>
      </c>
      <c r="P15" s="13"/>
      <c r="Q15" s="11">
        <v>1734</v>
      </c>
      <c r="R15" s="11">
        <v>100</v>
      </c>
      <c r="S15" s="357"/>
      <c r="T15" s="13" t="s">
        <v>487</v>
      </c>
      <c r="U15" s="13">
        <v>4</v>
      </c>
      <c r="V15" s="203"/>
      <c r="W15" s="39"/>
      <c r="X15" s="39"/>
      <c r="Y15" s="39"/>
      <c r="Z15" s="39"/>
      <c r="AA15" s="39"/>
      <c r="AB15" s="39"/>
    </row>
    <row r="16" spans="2:28" ht="24" x14ac:dyDescent="0.35">
      <c r="B16" s="11"/>
      <c r="C16" s="203" t="s">
        <v>485</v>
      </c>
      <c r="D16" s="316">
        <v>15112</v>
      </c>
      <c r="E16" s="316">
        <v>1476.07</v>
      </c>
      <c r="F16" s="316">
        <v>3314.2200000000012</v>
      </c>
      <c r="G16" s="316"/>
      <c r="H16" s="316">
        <v>1285.7899999999997</v>
      </c>
      <c r="I16" s="316">
        <v>1285.7899999999997</v>
      </c>
      <c r="J16" s="316">
        <v>19902.29</v>
      </c>
      <c r="K16" s="316">
        <v>5896.3904000000002</v>
      </c>
      <c r="L16" s="152">
        <v>0</v>
      </c>
      <c r="M16" s="11" t="s">
        <v>391</v>
      </c>
      <c r="N16" s="11" t="s">
        <v>365</v>
      </c>
      <c r="O16" s="357">
        <v>39569</v>
      </c>
      <c r="P16" s="13"/>
      <c r="Q16" s="11">
        <v>1734</v>
      </c>
      <c r="R16" s="11">
        <v>50</v>
      </c>
      <c r="S16" s="357"/>
      <c r="T16" s="13" t="s">
        <v>486</v>
      </c>
      <c r="U16" s="13">
        <v>2</v>
      </c>
      <c r="V16" s="203"/>
      <c r="W16" s="39"/>
      <c r="X16" s="39"/>
      <c r="Y16" s="39"/>
      <c r="Z16" s="39"/>
      <c r="AA16" s="39"/>
      <c r="AB16" s="39"/>
    </row>
    <row r="17" spans="2:28" ht="24" x14ac:dyDescent="0.35">
      <c r="B17" s="11"/>
      <c r="C17" s="203" t="s">
        <v>485</v>
      </c>
      <c r="D17" s="316">
        <v>32854.959999999999</v>
      </c>
      <c r="E17" s="316">
        <v>9002.6</v>
      </c>
      <c r="F17" s="316">
        <v>34089.620000000003</v>
      </c>
      <c r="G17" s="316"/>
      <c r="H17" s="316">
        <v>4200.21</v>
      </c>
      <c r="I17" s="316">
        <v>4200.21</v>
      </c>
      <c r="J17" s="316">
        <v>75947.180000000008</v>
      </c>
      <c r="K17" s="316">
        <v>18126.72</v>
      </c>
      <c r="L17" s="358">
        <v>5500</v>
      </c>
      <c r="M17" s="316" t="s">
        <v>387</v>
      </c>
      <c r="N17" s="11" t="s">
        <v>365</v>
      </c>
      <c r="O17" s="357">
        <v>40057</v>
      </c>
      <c r="P17" s="13"/>
      <c r="Q17" s="11">
        <v>1734</v>
      </c>
      <c r="R17" s="11">
        <v>100</v>
      </c>
      <c r="S17" s="357"/>
      <c r="T17" s="13" t="s">
        <v>493</v>
      </c>
      <c r="U17" s="13">
        <v>1</v>
      </c>
      <c r="V17" s="359"/>
      <c r="W17" s="39"/>
      <c r="X17" s="39"/>
      <c r="Y17" s="39"/>
      <c r="Z17" s="39"/>
      <c r="AA17" s="39"/>
      <c r="AB17" s="39"/>
    </row>
    <row r="18" spans="2:28" ht="24" x14ac:dyDescent="0.35">
      <c r="B18" s="11"/>
      <c r="C18" s="203" t="s">
        <v>485</v>
      </c>
      <c r="D18" s="316">
        <v>21821.84</v>
      </c>
      <c r="E18" s="316">
        <v>1937.0900000000001</v>
      </c>
      <c r="F18" s="316">
        <v>386.81999999999971</v>
      </c>
      <c r="G18" s="316"/>
      <c r="H18" s="316">
        <v>1576.2100000000003</v>
      </c>
      <c r="I18" s="316">
        <v>1576.2100000000003</v>
      </c>
      <c r="J18" s="316">
        <v>24145.75</v>
      </c>
      <c r="K18" s="316">
        <v>7106.7712000000001</v>
      </c>
      <c r="L18" s="358">
        <v>0</v>
      </c>
      <c r="M18" s="316" t="s">
        <v>387</v>
      </c>
      <c r="N18" s="11" t="s">
        <v>365</v>
      </c>
      <c r="O18" s="357">
        <v>42828</v>
      </c>
      <c r="P18" s="13"/>
      <c r="Q18" s="11">
        <v>1734</v>
      </c>
      <c r="R18" s="11">
        <v>100</v>
      </c>
      <c r="S18" s="357"/>
      <c r="T18" s="13" t="s">
        <v>487</v>
      </c>
      <c r="U18" s="13">
        <v>4</v>
      </c>
      <c r="V18" s="359"/>
      <c r="W18" s="39"/>
      <c r="X18" s="39"/>
      <c r="Y18" s="39"/>
      <c r="Z18" s="39"/>
      <c r="AA18" s="39"/>
      <c r="AB18" s="39"/>
    </row>
    <row r="19" spans="2:28" ht="24" x14ac:dyDescent="0.35">
      <c r="B19" s="11"/>
      <c r="C19" s="203" t="s">
        <v>485</v>
      </c>
      <c r="D19" s="316">
        <v>21927.54</v>
      </c>
      <c r="E19" s="316">
        <v>6250.98</v>
      </c>
      <c r="F19" s="316">
        <v>386.81999999999971</v>
      </c>
      <c r="G19" s="316"/>
      <c r="H19" s="316">
        <v>1583.76</v>
      </c>
      <c r="I19" s="316">
        <v>1583.76</v>
      </c>
      <c r="J19" s="316">
        <v>28565.34</v>
      </c>
      <c r="K19" s="316">
        <v>7140.5952000000007</v>
      </c>
      <c r="L19" s="358">
        <v>0</v>
      </c>
      <c r="M19" s="316" t="s">
        <v>387</v>
      </c>
      <c r="N19" s="11" t="s">
        <v>365</v>
      </c>
      <c r="O19" s="357">
        <v>42391</v>
      </c>
      <c r="P19" s="13"/>
      <c r="Q19" s="11">
        <v>1734</v>
      </c>
      <c r="R19" s="11">
        <v>100</v>
      </c>
      <c r="S19" s="357"/>
      <c r="T19" s="13" t="s">
        <v>487</v>
      </c>
      <c r="U19" s="13">
        <v>4</v>
      </c>
      <c r="V19" s="359"/>
      <c r="W19" s="39"/>
      <c r="X19" s="39"/>
      <c r="Y19" s="39"/>
      <c r="Z19" s="39"/>
      <c r="AA19" s="261"/>
      <c r="AB19" s="261"/>
    </row>
    <row r="20" spans="2:28" ht="24" x14ac:dyDescent="0.35">
      <c r="B20" s="11"/>
      <c r="C20" s="203" t="s">
        <v>485</v>
      </c>
      <c r="D20" s="316">
        <v>10621.42</v>
      </c>
      <c r="E20" s="316">
        <v>1258.3699999999999</v>
      </c>
      <c r="F20" s="316">
        <v>190.95999999999913</v>
      </c>
      <c r="G20" s="316"/>
      <c r="H20" s="316">
        <v>762.18999999999994</v>
      </c>
      <c r="I20" s="316">
        <v>762.18999999999994</v>
      </c>
      <c r="J20" s="316">
        <v>12070.75</v>
      </c>
      <c r="K20" s="316">
        <v>3459.9615999999996</v>
      </c>
      <c r="L20" s="358">
        <v>0</v>
      </c>
      <c r="M20" s="316" t="s">
        <v>497</v>
      </c>
      <c r="N20" s="11" t="s">
        <v>365</v>
      </c>
      <c r="O20" s="357">
        <v>43542</v>
      </c>
      <c r="P20" s="13"/>
      <c r="Q20" s="11">
        <v>1734</v>
      </c>
      <c r="R20" s="11">
        <v>50</v>
      </c>
      <c r="S20" s="357"/>
      <c r="T20" s="13" t="s">
        <v>495</v>
      </c>
      <c r="U20" s="13">
        <v>4</v>
      </c>
      <c r="V20" s="359"/>
      <c r="W20" s="39"/>
      <c r="X20" s="39"/>
      <c r="Y20" s="39"/>
      <c r="Z20" s="39"/>
      <c r="AA20" s="261"/>
      <c r="AB20" s="261"/>
    </row>
    <row r="21" spans="2:28" ht="24" x14ac:dyDescent="0.35">
      <c r="B21" s="11"/>
      <c r="C21" s="203" t="s">
        <v>485</v>
      </c>
      <c r="D21" s="316">
        <v>22520.9</v>
      </c>
      <c r="E21" s="316">
        <v>1175.27</v>
      </c>
      <c r="F21" s="316">
        <v>386.81999999999971</v>
      </c>
      <c r="G21" s="316"/>
      <c r="H21" s="316">
        <v>1616.0200000000002</v>
      </c>
      <c r="I21" s="316">
        <v>1616.0200000000002</v>
      </c>
      <c r="J21" s="316">
        <v>24082.99</v>
      </c>
      <c r="K21" s="316">
        <v>7330.4704000000002</v>
      </c>
      <c r="L21" s="358">
        <v>0</v>
      </c>
      <c r="M21" s="316" t="s">
        <v>390</v>
      </c>
      <c r="N21" s="11" t="s">
        <v>365</v>
      </c>
      <c r="O21" s="357">
        <v>40651</v>
      </c>
      <c r="P21" s="13"/>
      <c r="Q21" s="11">
        <v>1734</v>
      </c>
      <c r="R21" s="11">
        <v>100</v>
      </c>
      <c r="S21" s="357"/>
      <c r="T21" s="13" t="s">
        <v>487</v>
      </c>
      <c r="U21" s="13">
        <v>4</v>
      </c>
      <c r="V21" s="359"/>
      <c r="W21" s="39"/>
      <c r="X21" s="39"/>
      <c r="Y21" s="39"/>
      <c r="Z21" s="39"/>
      <c r="AA21" s="261"/>
      <c r="AB21" s="261"/>
    </row>
    <row r="22" spans="2:28" ht="24" x14ac:dyDescent="0.35">
      <c r="B22" s="11"/>
      <c r="C22" s="203" t="s">
        <v>485</v>
      </c>
      <c r="D22" s="316">
        <v>22237.46</v>
      </c>
      <c r="E22" s="316">
        <v>2889.47</v>
      </c>
      <c r="F22" s="316">
        <v>386.82000000000335</v>
      </c>
      <c r="G22" s="316"/>
      <c r="H22" s="316">
        <v>1616.0200000000002</v>
      </c>
      <c r="I22" s="316">
        <v>1616.0200000000002</v>
      </c>
      <c r="J22" s="316">
        <v>25513.750000000004</v>
      </c>
      <c r="K22" s="316">
        <v>7239.7696000000005</v>
      </c>
      <c r="L22" s="358">
        <v>0</v>
      </c>
      <c r="M22" s="316" t="s">
        <v>390</v>
      </c>
      <c r="N22" s="11" t="s">
        <v>365</v>
      </c>
      <c r="O22" s="357">
        <v>40651</v>
      </c>
      <c r="P22" s="153"/>
      <c r="Q22" s="11">
        <v>1734</v>
      </c>
      <c r="R22" s="11">
        <v>100</v>
      </c>
      <c r="S22" s="357"/>
      <c r="T22" s="13" t="s">
        <v>487</v>
      </c>
      <c r="U22" s="13">
        <v>4</v>
      </c>
      <c r="V22" s="359"/>
      <c r="W22" s="39"/>
      <c r="X22" s="39"/>
      <c r="Y22" s="39"/>
      <c r="Z22" s="39"/>
      <c r="AA22" s="261"/>
      <c r="AB22" s="261"/>
    </row>
    <row r="23" spans="2:28" ht="24" x14ac:dyDescent="0.35">
      <c r="B23" s="11"/>
      <c r="C23" s="203" t="s">
        <v>485</v>
      </c>
      <c r="D23" s="316">
        <v>22569.260000000002</v>
      </c>
      <c r="E23" s="316">
        <v>1142.07</v>
      </c>
      <c r="F23" s="316">
        <v>386.81999999999971</v>
      </c>
      <c r="G23" s="316"/>
      <c r="H23" s="316">
        <v>1616.0200000000002</v>
      </c>
      <c r="I23" s="316">
        <v>1616.0200000000002</v>
      </c>
      <c r="J23" s="316">
        <v>24098.15</v>
      </c>
      <c r="K23" s="316">
        <v>7345.9456000000009</v>
      </c>
      <c r="L23" s="358">
        <v>0</v>
      </c>
      <c r="M23" s="316" t="s">
        <v>390</v>
      </c>
      <c r="N23" s="11" t="s">
        <v>365</v>
      </c>
      <c r="O23" s="357">
        <v>40717</v>
      </c>
      <c r="P23" s="153"/>
      <c r="Q23" s="11">
        <v>1734</v>
      </c>
      <c r="R23" s="11">
        <v>100</v>
      </c>
      <c r="S23" s="357"/>
      <c r="T23" s="13" t="s">
        <v>487</v>
      </c>
      <c r="U23" s="13">
        <v>4</v>
      </c>
      <c r="V23" s="359"/>
      <c r="W23" s="39"/>
      <c r="X23" s="39"/>
      <c r="Y23" s="39"/>
      <c r="Z23" s="39"/>
      <c r="AA23" s="261"/>
      <c r="AB23" s="261"/>
    </row>
    <row r="24" spans="2:28" ht="24" x14ac:dyDescent="0.35">
      <c r="B24" s="11"/>
      <c r="C24" s="203" t="s">
        <v>485</v>
      </c>
      <c r="D24" s="316">
        <v>27938.260000000002</v>
      </c>
      <c r="E24" s="316">
        <v>2417.4600000000005</v>
      </c>
      <c r="F24" s="316">
        <v>6628.4399999999951</v>
      </c>
      <c r="G24" s="316"/>
      <c r="H24" s="316">
        <v>2469.0499999999997</v>
      </c>
      <c r="I24" s="316">
        <v>2469.0499999999997</v>
      </c>
      <c r="J24" s="316">
        <v>36984.159999999996</v>
      </c>
      <c r="K24" s="316">
        <v>11061.343999999999</v>
      </c>
      <c r="L24" s="358">
        <v>0</v>
      </c>
      <c r="M24" s="316" t="s">
        <v>387</v>
      </c>
      <c r="N24" s="11" t="s">
        <v>365</v>
      </c>
      <c r="O24" s="357">
        <v>42723</v>
      </c>
      <c r="P24" s="13"/>
      <c r="Q24" s="11">
        <v>1734</v>
      </c>
      <c r="R24" s="11">
        <v>100</v>
      </c>
      <c r="S24" s="357"/>
      <c r="T24" s="13" t="s">
        <v>496</v>
      </c>
      <c r="U24" s="13">
        <v>2</v>
      </c>
      <c r="V24" s="359"/>
      <c r="W24" s="39"/>
      <c r="X24" s="39"/>
      <c r="Y24" s="39"/>
      <c r="Z24" s="39"/>
      <c r="AA24" s="261"/>
      <c r="AB24" s="261"/>
    </row>
    <row r="25" spans="2:28" ht="24" x14ac:dyDescent="0.35">
      <c r="B25" s="11"/>
      <c r="C25" s="203" t="s">
        <v>485</v>
      </c>
      <c r="D25" s="316">
        <v>21710.400000000001</v>
      </c>
      <c r="E25" s="316">
        <v>7048.55</v>
      </c>
      <c r="F25" s="316">
        <v>386.81999999999971</v>
      </c>
      <c r="G25" s="316"/>
      <c r="H25" s="316">
        <v>1568.25</v>
      </c>
      <c r="I25" s="316">
        <v>1568.25</v>
      </c>
      <c r="J25" s="316">
        <v>29145.77</v>
      </c>
      <c r="K25" s="316">
        <v>7071.1104000000005</v>
      </c>
      <c r="L25" s="358">
        <v>0</v>
      </c>
      <c r="M25" s="316" t="s">
        <v>390</v>
      </c>
      <c r="N25" s="11" t="s">
        <v>365</v>
      </c>
      <c r="O25" s="357">
        <v>43164</v>
      </c>
      <c r="P25" s="153"/>
      <c r="Q25" s="11">
        <v>1734</v>
      </c>
      <c r="R25" s="11">
        <v>100</v>
      </c>
      <c r="S25" s="357"/>
      <c r="T25" s="13" t="s">
        <v>487</v>
      </c>
      <c r="U25" s="13">
        <v>4</v>
      </c>
      <c r="V25" s="359"/>
      <c r="W25" s="39"/>
      <c r="X25" s="39"/>
      <c r="Y25" s="39"/>
      <c r="Z25" s="39"/>
      <c r="AA25" s="261"/>
      <c r="AB25" s="261"/>
    </row>
    <row r="26" spans="2:28" ht="72.5" x14ac:dyDescent="0.35">
      <c r="B26" s="11"/>
      <c r="C26" s="203" t="s">
        <v>485</v>
      </c>
      <c r="D26" s="316">
        <v>21217.88</v>
      </c>
      <c r="E26" s="316">
        <v>1265.2</v>
      </c>
      <c r="F26" s="316">
        <v>381.91999999999825</v>
      </c>
      <c r="G26" s="316"/>
      <c r="H26" s="316">
        <v>1532.72</v>
      </c>
      <c r="I26" s="316">
        <v>1532.72</v>
      </c>
      <c r="J26" s="316">
        <v>22865</v>
      </c>
      <c r="K26" s="316">
        <v>6911.9359999999997</v>
      </c>
      <c r="L26" s="358">
        <v>0</v>
      </c>
      <c r="M26" s="316" t="s">
        <v>387</v>
      </c>
      <c r="N26" s="11" t="s">
        <v>365</v>
      </c>
      <c r="O26" s="357">
        <v>43283</v>
      </c>
      <c r="P26" s="13"/>
      <c r="Q26" s="11">
        <v>1734</v>
      </c>
      <c r="R26" s="11">
        <v>100</v>
      </c>
      <c r="S26" s="357"/>
      <c r="T26" s="13" t="s">
        <v>495</v>
      </c>
      <c r="U26" s="13">
        <v>4</v>
      </c>
      <c r="V26" s="359"/>
      <c r="W26" s="39" t="s">
        <v>489</v>
      </c>
      <c r="X26" s="39"/>
      <c r="Y26" s="39"/>
      <c r="Z26" s="39"/>
      <c r="AA26" s="261"/>
      <c r="AB26" s="281" t="s">
        <v>562</v>
      </c>
    </row>
    <row r="27" spans="2:28" ht="24" x14ac:dyDescent="0.35">
      <c r="B27" s="11"/>
      <c r="C27" s="203" t="s">
        <v>485</v>
      </c>
      <c r="D27" s="316">
        <v>31730.579999999998</v>
      </c>
      <c r="E27" s="316">
        <v>6203.4299999999994</v>
      </c>
      <c r="F27" s="316">
        <v>20358.52</v>
      </c>
      <c r="G27" s="316"/>
      <c r="H27" s="316">
        <v>3720.65</v>
      </c>
      <c r="I27" s="316">
        <v>3720.65</v>
      </c>
      <c r="J27" s="316">
        <v>58292.53</v>
      </c>
      <c r="K27" s="316">
        <v>16668.511999999999</v>
      </c>
      <c r="L27" s="358">
        <v>1900</v>
      </c>
      <c r="M27" s="316" t="s">
        <v>390</v>
      </c>
      <c r="N27" s="11" t="s">
        <v>365</v>
      </c>
      <c r="O27" s="357">
        <v>43732</v>
      </c>
      <c r="P27" s="13"/>
      <c r="Q27" s="11">
        <v>1734</v>
      </c>
      <c r="R27" s="11">
        <v>100</v>
      </c>
      <c r="S27" s="357"/>
      <c r="T27" s="13" t="s">
        <v>491</v>
      </c>
      <c r="U27" s="13">
        <v>1</v>
      </c>
      <c r="V27" s="359"/>
      <c r="W27" s="39"/>
      <c r="X27" s="39"/>
      <c r="Y27" s="39"/>
      <c r="Z27" s="39"/>
      <c r="AA27" s="261"/>
      <c r="AB27" s="261"/>
    </row>
    <row r="28" spans="2:28" ht="24" x14ac:dyDescent="0.35">
      <c r="B28" s="11"/>
      <c r="C28" s="203" t="s">
        <v>485</v>
      </c>
      <c r="D28" s="316">
        <v>27587.98</v>
      </c>
      <c r="E28" s="316">
        <v>8784.9500000000007</v>
      </c>
      <c r="F28" s="316">
        <v>6628.4399999999987</v>
      </c>
      <c r="G28" s="316"/>
      <c r="H28" s="316">
        <v>2444.0299999999997</v>
      </c>
      <c r="I28" s="316">
        <v>2444.0299999999997</v>
      </c>
      <c r="J28" s="316">
        <v>43001.369999999995</v>
      </c>
      <c r="K28" s="316">
        <v>10949.2544</v>
      </c>
      <c r="L28" s="358">
        <v>0</v>
      </c>
      <c r="M28" s="316" t="s">
        <v>387</v>
      </c>
      <c r="N28" s="11" t="s">
        <v>365</v>
      </c>
      <c r="O28" s="357">
        <v>44006</v>
      </c>
      <c r="P28" s="153"/>
      <c r="Q28" s="11">
        <v>1734</v>
      </c>
      <c r="R28" s="11">
        <v>100</v>
      </c>
      <c r="S28" s="357"/>
      <c r="T28" s="13" t="s">
        <v>496</v>
      </c>
      <c r="U28" s="13">
        <v>2</v>
      </c>
      <c r="V28" s="359"/>
      <c r="W28" s="39"/>
      <c r="X28" s="39"/>
      <c r="Y28" s="39"/>
      <c r="Z28" s="39"/>
      <c r="AA28" s="261"/>
      <c r="AB28" s="261"/>
    </row>
    <row r="29" spans="2:28" ht="24" x14ac:dyDescent="0.35">
      <c r="B29" s="11"/>
      <c r="C29" s="203" t="s">
        <v>485</v>
      </c>
      <c r="D29" s="316">
        <v>3054.52</v>
      </c>
      <c r="E29" s="316">
        <v>2708.8500000000004</v>
      </c>
      <c r="F29" s="316">
        <v>1963.6399999999999</v>
      </c>
      <c r="G29" s="316"/>
      <c r="H29" s="316">
        <v>358.44</v>
      </c>
      <c r="I29" s="316">
        <v>358.44</v>
      </c>
      <c r="J29" s="316">
        <v>7727.01</v>
      </c>
      <c r="K29" s="316">
        <v>1605.8112000000001</v>
      </c>
      <c r="L29" s="358">
        <v>190</v>
      </c>
      <c r="M29" s="316" t="s">
        <v>391</v>
      </c>
      <c r="N29" s="17" t="s">
        <v>365</v>
      </c>
      <c r="O29" s="357">
        <v>44287</v>
      </c>
      <c r="P29" s="13"/>
      <c r="Q29" s="11">
        <v>1734</v>
      </c>
      <c r="R29" s="11">
        <v>10</v>
      </c>
      <c r="S29" s="357"/>
      <c r="T29" s="13" t="s">
        <v>523</v>
      </c>
      <c r="U29" s="13">
        <v>1</v>
      </c>
      <c r="V29" s="359"/>
      <c r="W29" s="39"/>
      <c r="X29" s="39"/>
      <c r="Y29" s="39"/>
      <c r="Z29" s="39"/>
      <c r="AA29" s="261"/>
      <c r="AB29" s="261"/>
    </row>
    <row r="30" spans="2:28" ht="24" x14ac:dyDescent="0.35">
      <c r="B30" s="11"/>
      <c r="C30" s="203" t="s">
        <v>485</v>
      </c>
      <c r="D30" s="316">
        <v>20130.78</v>
      </c>
      <c r="E30" s="316">
        <v>1928.02</v>
      </c>
      <c r="F30" s="316">
        <v>0</v>
      </c>
      <c r="G30" s="316"/>
      <c r="H30" s="316">
        <v>1427.7900000000002</v>
      </c>
      <c r="I30" s="316">
        <v>1427.7900000000002</v>
      </c>
      <c r="J30" s="316">
        <v>22058.799999999999</v>
      </c>
      <c r="K30" s="316">
        <v>6441.8495999999996</v>
      </c>
      <c r="L30" s="358">
        <v>0</v>
      </c>
      <c r="M30" s="316" t="s">
        <v>541</v>
      </c>
      <c r="N30" s="11" t="s">
        <v>365</v>
      </c>
      <c r="O30" s="357">
        <v>44348</v>
      </c>
      <c r="P30" s="153"/>
      <c r="Q30" s="11">
        <v>1734</v>
      </c>
      <c r="R30" s="11">
        <v>100</v>
      </c>
      <c r="S30" s="357"/>
      <c r="T30" s="13" t="s">
        <v>501</v>
      </c>
      <c r="U30" s="13">
        <v>9</v>
      </c>
      <c r="V30" s="359"/>
      <c r="W30" s="39"/>
      <c r="X30" s="39"/>
      <c r="Y30" s="39"/>
      <c r="Z30" s="39"/>
      <c r="AA30" s="261"/>
      <c r="AB30" s="261"/>
    </row>
    <row r="31" spans="2:28" ht="72.5" x14ac:dyDescent="0.35">
      <c r="B31" s="11"/>
      <c r="C31" s="203" t="s">
        <v>485</v>
      </c>
      <c r="D31" s="316">
        <v>14003.64</v>
      </c>
      <c r="E31" s="316">
        <v>5580.2400000000007</v>
      </c>
      <c r="F31" s="316">
        <v>3314.2200000000012</v>
      </c>
      <c r="G31" s="316"/>
      <c r="H31" s="316">
        <v>1213.2900000000002</v>
      </c>
      <c r="I31" s="316">
        <v>1213.2900000000002</v>
      </c>
      <c r="J31" s="316">
        <v>22898.100000000002</v>
      </c>
      <c r="K31" s="316">
        <v>5541.7152000000006</v>
      </c>
      <c r="L31" s="358">
        <v>0</v>
      </c>
      <c r="M31" s="316" t="s">
        <v>497</v>
      </c>
      <c r="N31" s="11" t="s">
        <v>365</v>
      </c>
      <c r="O31" s="357">
        <v>44440</v>
      </c>
      <c r="P31" s="13"/>
      <c r="Q31" s="11">
        <v>1734</v>
      </c>
      <c r="R31" s="11">
        <v>50</v>
      </c>
      <c r="S31" s="357">
        <v>45504</v>
      </c>
      <c r="T31" s="13" t="s">
        <v>496</v>
      </c>
      <c r="U31" s="13">
        <v>2</v>
      </c>
      <c r="V31" s="359"/>
      <c r="W31" s="39" t="s">
        <v>489</v>
      </c>
      <c r="X31" s="39"/>
      <c r="Y31" s="39"/>
      <c r="Z31" s="39"/>
      <c r="AA31" s="261"/>
      <c r="AB31" s="281" t="s">
        <v>563</v>
      </c>
    </row>
    <row r="32" spans="2:28" ht="24" x14ac:dyDescent="0.35">
      <c r="B32" s="11"/>
      <c r="C32" s="203" t="s">
        <v>485</v>
      </c>
      <c r="D32" s="316">
        <v>27343.68</v>
      </c>
      <c r="E32" s="316">
        <v>2850.1599999999994</v>
      </c>
      <c r="F32" s="316">
        <v>6628.4400000000023</v>
      </c>
      <c r="G32" s="316"/>
      <c r="H32" s="316">
        <v>2426.5800000000004</v>
      </c>
      <c r="I32" s="316">
        <v>2426.5800000000004</v>
      </c>
      <c r="J32" s="316">
        <v>36822.28</v>
      </c>
      <c r="K32" s="316">
        <v>10871.0784</v>
      </c>
      <c r="L32" s="358">
        <v>0</v>
      </c>
      <c r="M32" s="316" t="s">
        <v>390</v>
      </c>
      <c r="N32" s="11" t="s">
        <v>365</v>
      </c>
      <c r="O32" s="357">
        <v>44480</v>
      </c>
      <c r="P32" s="153"/>
      <c r="Q32" s="11">
        <v>1734</v>
      </c>
      <c r="R32" s="11">
        <v>100</v>
      </c>
      <c r="S32" s="357"/>
      <c r="T32" s="13" t="s">
        <v>496</v>
      </c>
      <c r="U32" s="13">
        <v>2</v>
      </c>
      <c r="V32" s="359"/>
      <c r="W32" s="39"/>
      <c r="X32" s="39"/>
      <c r="Y32" s="39"/>
      <c r="Z32" s="39"/>
      <c r="AA32" s="261"/>
      <c r="AB32" s="261"/>
    </row>
    <row r="33" spans="1:28" ht="24" x14ac:dyDescent="0.35">
      <c r="B33" s="11"/>
      <c r="C33" s="203" t="s">
        <v>485</v>
      </c>
      <c r="D33" s="316">
        <v>27553.96</v>
      </c>
      <c r="E33" s="316">
        <v>2550.27</v>
      </c>
      <c r="F33" s="316">
        <v>6628.4400000000023</v>
      </c>
      <c r="G33" s="316"/>
      <c r="H33" s="316">
        <v>2417.9</v>
      </c>
      <c r="I33" s="316">
        <v>2417.9</v>
      </c>
      <c r="J33" s="316">
        <v>36732.67</v>
      </c>
      <c r="K33" s="316">
        <v>10938.368</v>
      </c>
      <c r="L33" s="358">
        <v>0</v>
      </c>
      <c r="M33" s="316" t="s">
        <v>387</v>
      </c>
      <c r="N33" s="11" t="s">
        <v>365</v>
      </c>
      <c r="O33" s="357">
        <v>44963</v>
      </c>
      <c r="P33" s="13"/>
      <c r="Q33" s="11">
        <v>1734</v>
      </c>
      <c r="R33" s="11">
        <v>100</v>
      </c>
      <c r="S33" s="357"/>
      <c r="T33" s="13" t="s">
        <v>496</v>
      </c>
      <c r="U33" s="13">
        <v>2</v>
      </c>
      <c r="V33" s="359"/>
      <c r="W33" s="39"/>
      <c r="X33" s="39"/>
      <c r="Y33" s="39"/>
      <c r="Z33" s="39"/>
      <c r="AA33" s="261"/>
      <c r="AB33" s="261"/>
    </row>
    <row r="34" spans="1:28" ht="24" x14ac:dyDescent="0.35">
      <c r="B34" s="11"/>
      <c r="C34" s="203" t="s">
        <v>485</v>
      </c>
      <c r="D34" s="316">
        <v>14003.64</v>
      </c>
      <c r="E34" s="316">
        <v>1340.51</v>
      </c>
      <c r="F34" s="316">
        <v>3314.2200000000012</v>
      </c>
      <c r="G34" s="316"/>
      <c r="H34" s="316">
        <v>1213.2900000000002</v>
      </c>
      <c r="I34" s="316">
        <v>1213.2900000000002</v>
      </c>
      <c r="J34" s="316">
        <v>18658.37</v>
      </c>
      <c r="K34" s="316">
        <v>5541.7152000000006</v>
      </c>
      <c r="L34" s="358">
        <v>0</v>
      </c>
      <c r="M34" s="316" t="s">
        <v>497</v>
      </c>
      <c r="N34" s="11" t="s">
        <v>365</v>
      </c>
      <c r="O34" s="357">
        <v>44621</v>
      </c>
      <c r="P34" s="13"/>
      <c r="Q34" s="11">
        <v>1734</v>
      </c>
      <c r="R34" s="11">
        <v>50</v>
      </c>
      <c r="S34" s="357"/>
      <c r="T34" s="13" t="s">
        <v>496</v>
      </c>
      <c r="U34" s="13">
        <v>2</v>
      </c>
      <c r="V34" s="359"/>
      <c r="W34" s="39"/>
      <c r="X34" s="39"/>
      <c r="Y34" s="39"/>
      <c r="Z34" s="39"/>
      <c r="AA34" s="261"/>
      <c r="AB34" s="261"/>
    </row>
    <row r="35" spans="1:28" ht="24" x14ac:dyDescent="0.35">
      <c r="B35" s="11"/>
      <c r="C35" s="203" t="s">
        <v>485</v>
      </c>
      <c r="D35" s="316">
        <v>17658.48</v>
      </c>
      <c r="E35" s="316">
        <v>1899.1</v>
      </c>
      <c r="F35" s="316">
        <v>0</v>
      </c>
      <c r="G35" s="316"/>
      <c r="H35" s="316">
        <v>1261.32</v>
      </c>
      <c r="I35" s="316">
        <v>1261.32</v>
      </c>
      <c r="J35" s="316">
        <v>19557.579999999998</v>
      </c>
      <c r="K35" s="316">
        <v>5650.7136</v>
      </c>
      <c r="L35" s="358">
        <v>0</v>
      </c>
      <c r="M35" s="316" t="s">
        <v>387</v>
      </c>
      <c r="N35" s="11" t="s">
        <v>365</v>
      </c>
      <c r="O35" s="357">
        <v>44655</v>
      </c>
      <c r="P35" s="13"/>
      <c r="Q35" s="11">
        <v>1734</v>
      </c>
      <c r="R35" s="11">
        <v>100</v>
      </c>
      <c r="S35" s="357"/>
      <c r="T35" s="13" t="s">
        <v>504</v>
      </c>
      <c r="U35" s="13">
        <v>5</v>
      </c>
      <c r="V35" s="359"/>
      <c r="W35" s="39"/>
      <c r="X35" s="39"/>
      <c r="Y35" s="39"/>
      <c r="Z35" s="39"/>
      <c r="AA35" s="261"/>
      <c r="AB35" s="261"/>
    </row>
    <row r="36" spans="1:28" ht="24" x14ac:dyDescent="0.35">
      <c r="B36" s="11"/>
      <c r="C36" s="203" t="s">
        <v>485</v>
      </c>
      <c r="D36" s="316">
        <v>27675.48</v>
      </c>
      <c r="E36" s="316">
        <v>5328.93</v>
      </c>
      <c r="F36" s="316">
        <v>6628.4399999999987</v>
      </c>
      <c r="G36" s="316"/>
      <c r="H36" s="316">
        <v>2426.5800000000004</v>
      </c>
      <c r="I36" s="316">
        <v>2426.5800000000004</v>
      </c>
      <c r="J36" s="316">
        <v>39632.85</v>
      </c>
      <c r="K36" s="316">
        <v>10977.2544</v>
      </c>
      <c r="L36" s="358">
        <v>0</v>
      </c>
      <c r="M36" s="316" t="s">
        <v>541</v>
      </c>
      <c r="N36" s="11" t="s">
        <v>365</v>
      </c>
      <c r="O36" s="357">
        <v>44760</v>
      </c>
      <c r="P36" s="13"/>
      <c r="Q36" s="11">
        <v>1734</v>
      </c>
      <c r="R36" s="11">
        <v>100</v>
      </c>
      <c r="S36" s="357"/>
      <c r="T36" s="13" t="s">
        <v>496</v>
      </c>
      <c r="U36" s="13">
        <v>2</v>
      </c>
      <c r="V36" s="359"/>
      <c r="W36" s="39"/>
      <c r="X36" s="39"/>
      <c r="Y36" s="39"/>
      <c r="Z36" s="39"/>
      <c r="AA36" s="261"/>
      <c r="AB36" s="261"/>
    </row>
    <row r="37" spans="1:28" ht="24" x14ac:dyDescent="0.35">
      <c r="B37" s="11"/>
      <c r="C37" s="203" t="s">
        <v>485</v>
      </c>
      <c r="D37" s="316">
        <v>13611.08</v>
      </c>
      <c r="E37" s="316">
        <v>1721.6500000000003</v>
      </c>
      <c r="F37" s="316">
        <v>3314.2199999999993</v>
      </c>
      <c r="G37" s="316"/>
      <c r="H37" s="316">
        <v>1208.95</v>
      </c>
      <c r="I37" s="316">
        <v>1208.95</v>
      </c>
      <c r="J37" s="316">
        <v>18646.95</v>
      </c>
      <c r="K37" s="316">
        <v>5416.0959999999995</v>
      </c>
      <c r="L37" s="358">
        <v>0</v>
      </c>
      <c r="M37" s="316" t="s">
        <v>391</v>
      </c>
      <c r="N37" s="11" t="s">
        <v>365</v>
      </c>
      <c r="O37" s="357">
        <v>44910</v>
      </c>
      <c r="P37" s="13"/>
      <c r="Q37" s="11">
        <v>1734</v>
      </c>
      <c r="R37" s="11">
        <v>50</v>
      </c>
      <c r="S37" s="357"/>
      <c r="T37" s="13" t="s">
        <v>496</v>
      </c>
      <c r="U37" s="13">
        <v>2</v>
      </c>
      <c r="V37" s="359"/>
      <c r="W37" s="39"/>
      <c r="X37" s="39"/>
      <c r="Y37" s="39"/>
      <c r="Z37" s="39"/>
      <c r="AA37" s="261"/>
      <c r="AB37" s="261"/>
    </row>
    <row r="38" spans="1:28" ht="24" x14ac:dyDescent="0.35">
      <c r="B38" s="11"/>
      <c r="C38" s="203" t="s">
        <v>485</v>
      </c>
      <c r="D38" s="316">
        <v>27363.88</v>
      </c>
      <c r="E38" s="316">
        <v>4069.49</v>
      </c>
      <c r="F38" s="316">
        <v>6628.4399999999987</v>
      </c>
      <c r="G38" s="316"/>
      <c r="H38" s="316">
        <v>2417.9</v>
      </c>
      <c r="I38" s="316">
        <v>2417.9</v>
      </c>
      <c r="J38" s="316">
        <v>38061.81</v>
      </c>
      <c r="K38" s="316">
        <v>10877.5424</v>
      </c>
      <c r="L38" s="358">
        <v>0</v>
      </c>
      <c r="M38" s="316" t="s">
        <v>387</v>
      </c>
      <c r="N38" s="11" t="s">
        <v>365</v>
      </c>
      <c r="O38" s="357">
        <v>44935</v>
      </c>
      <c r="P38" s="13"/>
      <c r="Q38" s="11">
        <v>1734</v>
      </c>
      <c r="R38" s="11">
        <v>100</v>
      </c>
      <c r="S38" s="357"/>
      <c r="T38" s="13" t="s">
        <v>496</v>
      </c>
      <c r="U38" s="13">
        <v>2</v>
      </c>
      <c r="V38" s="359"/>
      <c r="W38" s="39"/>
      <c r="X38" s="39"/>
      <c r="Y38" s="39"/>
      <c r="Z38" s="39"/>
      <c r="AA38" s="261"/>
      <c r="AB38" s="261"/>
    </row>
    <row r="39" spans="1:28" ht="72.5" x14ac:dyDescent="0.35">
      <c r="B39" s="11"/>
      <c r="C39" s="203" t="s">
        <v>485</v>
      </c>
      <c r="D39" s="316">
        <v>20471.5</v>
      </c>
      <c r="E39" s="316">
        <v>4649.75</v>
      </c>
      <c r="F39" s="316">
        <v>381.92000000000189</v>
      </c>
      <c r="G39" s="316"/>
      <c r="H39" s="316">
        <v>1489.5300000000002</v>
      </c>
      <c r="I39" s="316">
        <v>1489.5300000000002</v>
      </c>
      <c r="J39" s="316">
        <v>25503.170000000002</v>
      </c>
      <c r="K39" s="316">
        <v>6673.0944000000009</v>
      </c>
      <c r="L39" s="358">
        <v>0</v>
      </c>
      <c r="M39" s="316" t="s">
        <v>387</v>
      </c>
      <c r="N39" s="11" t="s">
        <v>365</v>
      </c>
      <c r="O39" s="357">
        <v>45005</v>
      </c>
      <c r="P39" s="13"/>
      <c r="Q39" s="11">
        <v>1734</v>
      </c>
      <c r="R39" s="11">
        <v>100</v>
      </c>
      <c r="S39" s="357">
        <v>45565</v>
      </c>
      <c r="T39" s="13" t="s">
        <v>495</v>
      </c>
      <c r="U39" s="13">
        <v>4</v>
      </c>
      <c r="V39" s="359"/>
      <c r="W39" s="39" t="s">
        <v>489</v>
      </c>
      <c r="X39" s="39"/>
      <c r="Y39" s="39"/>
      <c r="Z39" s="39"/>
      <c r="AA39" s="261"/>
      <c r="AB39" s="281" t="s">
        <v>564</v>
      </c>
    </row>
    <row r="40" spans="1:28" ht="24" x14ac:dyDescent="0.35">
      <c r="B40" s="11"/>
      <c r="C40" s="203" t="s">
        <v>485</v>
      </c>
      <c r="D40" s="316">
        <v>27553.96</v>
      </c>
      <c r="E40" s="316">
        <v>5473.24</v>
      </c>
      <c r="F40" s="316">
        <v>6628.4400000000023</v>
      </c>
      <c r="G40" s="316"/>
      <c r="H40" s="316">
        <v>2417.9</v>
      </c>
      <c r="I40" s="316">
        <v>2417.9</v>
      </c>
      <c r="J40" s="316">
        <v>39655.64</v>
      </c>
      <c r="K40" s="316">
        <v>10938.368</v>
      </c>
      <c r="L40" s="358">
        <v>0</v>
      </c>
      <c r="M40" s="316" t="s">
        <v>390</v>
      </c>
      <c r="N40" s="11" t="s">
        <v>365</v>
      </c>
      <c r="O40" s="357">
        <v>45110</v>
      </c>
      <c r="P40" s="13"/>
      <c r="Q40" s="11">
        <v>1734</v>
      </c>
      <c r="R40" s="11">
        <v>100</v>
      </c>
      <c r="S40" s="357"/>
      <c r="T40" s="13" t="s">
        <v>496</v>
      </c>
      <c r="U40" s="13">
        <v>2</v>
      </c>
      <c r="V40" s="359"/>
      <c r="W40" s="39"/>
      <c r="X40" s="39"/>
      <c r="Y40" s="39"/>
      <c r="Z40" s="39"/>
      <c r="AA40" s="261"/>
      <c r="AB40" s="261"/>
    </row>
    <row r="41" spans="1:28" ht="24" x14ac:dyDescent="0.35">
      <c r="B41" s="11"/>
      <c r="C41" s="203" t="s">
        <v>485</v>
      </c>
      <c r="D41" s="316">
        <v>30176.3</v>
      </c>
      <c r="E41" s="316">
        <v>3710.02</v>
      </c>
      <c r="F41" s="316">
        <v>17320.66</v>
      </c>
      <c r="G41" s="316"/>
      <c r="H41" s="316">
        <v>3392.64</v>
      </c>
      <c r="I41" s="316">
        <v>3392.64</v>
      </c>
      <c r="J41" s="316">
        <v>51206.979999999996</v>
      </c>
      <c r="K41" s="316">
        <v>15199.0272</v>
      </c>
      <c r="L41" s="358">
        <v>1900</v>
      </c>
      <c r="M41" s="316" t="s">
        <v>387</v>
      </c>
      <c r="N41" s="11" t="s">
        <v>365</v>
      </c>
      <c r="O41" s="357">
        <v>45152</v>
      </c>
      <c r="P41" s="13"/>
      <c r="Q41" s="11">
        <v>1734</v>
      </c>
      <c r="R41" s="11">
        <v>100</v>
      </c>
      <c r="S41" s="357"/>
      <c r="T41" s="13" t="s">
        <v>523</v>
      </c>
      <c r="U41" s="13">
        <v>1</v>
      </c>
      <c r="V41" s="359"/>
      <c r="W41" s="39"/>
      <c r="X41" s="39"/>
      <c r="Y41" s="39"/>
      <c r="Z41" s="39"/>
      <c r="AA41" s="261"/>
      <c r="AB41" s="261"/>
    </row>
    <row r="42" spans="1:28" ht="24" x14ac:dyDescent="0.35">
      <c r="B42" s="11"/>
      <c r="C42" s="203" t="s">
        <v>485</v>
      </c>
      <c r="D42" s="316">
        <v>27099.52</v>
      </c>
      <c r="E42" s="316">
        <v>4359.1099999999997</v>
      </c>
      <c r="F42" s="316">
        <v>6628.4399999999987</v>
      </c>
      <c r="G42" s="316"/>
      <c r="H42" s="316">
        <v>2409.14</v>
      </c>
      <c r="I42" s="316">
        <v>2409.14</v>
      </c>
      <c r="J42" s="316">
        <v>38087.07</v>
      </c>
      <c r="K42" s="316">
        <v>10792.947200000001</v>
      </c>
      <c r="L42" s="358">
        <v>0</v>
      </c>
      <c r="M42" s="316" t="s">
        <v>387</v>
      </c>
      <c r="N42" s="11" t="s">
        <v>365</v>
      </c>
      <c r="O42" s="357">
        <v>45182</v>
      </c>
      <c r="P42" s="13"/>
      <c r="Q42" s="11">
        <v>1734</v>
      </c>
      <c r="R42" s="11">
        <v>100</v>
      </c>
      <c r="S42" s="357"/>
      <c r="T42" s="13" t="s">
        <v>496</v>
      </c>
      <c r="U42" s="13">
        <v>2</v>
      </c>
      <c r="V42" s="359"/>
      <c r="W42" s="39"/>
      <c r="X42" s="39"/>
      <c r="Y42" s="39"/>
      <c r="Z42" s="39"/>
      <c r="AA42" s="261"/>
      <c r="AB42" s="261"/>
    </row>
    <row r="43" spans="1:28" ht="24" x14ac:dyDescent="0.35">
      <c r="B43" s="11"/>
      <c r="C43" s="203" t="s">
        <v>485</v>
      </c>
      <c r="D43" s="316">
        <v>27099.52</v>
      </c>
      <c r="E43" s="316">
        <v>1072.0900000000001</v>
      </c>
      <c r="F43" s="316">
        <v>12628.439999999999</v>
      </c>
      <c r="G43" s="316"/>
      <c r="H43" s="316">
        <v>2409.14</v>
      </c>
      <c r="I43" s="316">
        <v>2409.14</v>
      </c>
      <c r="J43" s="316">
        <v>40800.050000000003</v>
      </c>
      <c r="K43" s="316">
        <v>12712.947200000001</v>
      </c>
      <c r="L43" s="358">
        <v>0</v>
      </c>
      <c r="M43" s="316" t="s">
        <v>397</v>
      </c>
      <c r="N43" s="11" t="s">
        <v>374</v>
      </c>
      <c r="O43" s="357">
        <v>45355</v>
      </c>
      <c r="P43" s="13"/>
      <c r="Q43" s="11">
        <v>1734</v>
      </c>
      <c r="R43" s="11">
        <v>100</v>
      </c>
      <c r="S43" s="357"/>
      <c r="T43" s="13" t="s">
        <v>496</v>
      </c>
      <c r="U43" s="13">
        <v>2</v>
      </c>
      <c r="V43" s="359"/>
      <c r="W43" s="39"/>
      <c r="X43" s="39"/>
      <c r="Y43" s="39"/>
      <c r="Z43" s="39"/>
      <c r="AA43" s="261"/>
      <c r="AB43" s="261"/>
    </row>
    <row r="44" spans="1:28" ht="24" x14ac:dyDescent="0.35">
      <c r="B44" s="154"/>
      <c r="C44" s="207" t="s">
        <v>485</v>
      </c>
      <c r="D44" s="167">
        <v>13833.2</v>
      </c>
      <c r="E44" s="167">
        <v>0</v>
      </c>
      <c r="F44" s="167">
        <v>3314.2199999999975</v>
      </c>
      <c r="G44" s="167"/>
      <c r="H44" s="167">
        <v>1204.57</v>
      </c>
      <c r="I44" s="167">
        <v>1204.57</v>
      </c>
      <c r="J44" s="167">
        <v>17147.419999999998</v>
      </c>
      <c r="K44" s="167">
        <v>5487.1743999999999</v>
      </c>
      <c r="L44" s="360">
        <v>0</v>
      </c>
      <c r="M44" s="167" t="s">
        <v>391</v>
      </c>
      <c r="N44" s="175" t="s">
        <v>365</v>
      </c>
      <c r="O44" s="169">
        <v>45463</v>
      </c>
      <c r="P44" s="207"/>
      <c r="Q44" s="207">
        <v>1734</v>
      </c>
      <c r="R44" s="207">
        <v>50</v>
      </c>
      <c r="S44" s="169"/>
      <c r="T44" s="175" t="s">
        <v>496</v>
      </c>
      <c r="U44" s="175">
        <v>2</v>
      </c>
      <c r="V44" s="361"/>
      <c r="W44" s="162"/>
      <c r="X44" s="39"/>
      <c r="Y44" s="39"/>
      <c r="Z44" s="39"/>
      <c r="AA44" s="261"/>
      <c r="AB44" s="261"/>
    </row>
    <row r="45" spans="1:28" s="208" customFormat="1" ht="24.75" customHeight="1" x14ac:dyDescent="0.35">
      <c r="A45" s="355"/>
      <c r="B45" s="205" t="s">
        <v>565</v>
      </c>
      <c r="C45" s="207" t="s">
        <v>485</v>
      </c>
      <c r="D45" s="167">
        <f>0.4*45082.8</f>
        <v>18033.120000000003</v>
      </c>
      <c r="E45" s="167">
        <v>0</v>
      </c>
      <c r="F45" s="167">
        <f>0.4*2414.16</f>
        <v>965.66399999999999</v>
      </c>
      <c r="G45" s="167"/>
      <c r="H45" s="167">
        <f>0.4*2327.89</f>
        <v>931.15599999999995</v>
      </c>
      <c r="I45" s="167">
        <f>0.4*2327.89</f>
        <v>931.15599999999995</v>
      </c>
      <c r="J45" s="167">
        <f>0.4*47496.96</f>
        <v>18998.784</v>
      </c>
      <c r="K45" s="167">
        <f>0.4*15199.0272</f>
        <v>6079.6108800000002</v>
      </c>
      <c r="L45" s="360">
        <v>0</v>
      </c>
      <c r="M45" s="167" t="s">
        <v>387</v>
      </c>
      <c r="N45" s="154" t="s">
        <v>365</v>
      </c>
      <c r="O45" s="169">
        <v>45476</v>
      </c>
      <c r="P45" s="170"/>
      <c r="Q45" s="207">
        <v>1734</v>
      </c>
      <c r="R45" s="154">
        <f>0.4*100</f>
        <v>40</v>
      </c>
      <c r="S45" s="154"/>
      <c r="T45" s="170" t="s">
        <v>523</v>
      </c>
      <c r="U45" s="154">
        <v>1</v>
      </c>
      <c r="V45" s="361"/>
      <c r="W45" s="361"/>
      <c r="X45" s="361"/>
      <c r="Y45" s="361"/>
      <c r="Z45" s="361"/>
      <c r="AA45" s="353"/>
      <c r="AB45" s="242"/>
    </row>
    <row r="46" spans="1:28" s="208" customFormat="1" ht="24" x14ac:dyDescent="0.35">
      <c r="A46" s="355"/>
      <c r="B46" s="205"/>
      <c r="C46" s="207" t="s">
        <v>485</v>
      </c>
      <c r="D46" s="167">
        <v>16584.54</v>
      </c>
      <c r="E46" s="167">
        <v>0</v>
      </c>
      <c r="F46" s="167">
        <v>0</v>
      </c>
      <c r="G46" s="167"/>
      <c r="H46" s="167">
        <v>1162.79</v>
      </c>
      <c r="I46" s="167">
        <v>1162.79</v>
      </c>
      <c r="J46" s="167">
        <v>16584.54</v>
      </c>
      <c r="K46" s="167">
        <v>5307.0528000000004</v>
      </c>
      <c r="L46" s="360"/>
      <c r="M46" s="167" t="s">
        <v>503</v>
      </c>
      <c r="N46" s="154" t="s">
        <v>374</v>
      </c>
      <c r="O46" s="169">
        <v>45573</v>
      </c>
      <c r="P46" s="170"/>
      <c r="Q46" s="207">
        <v>1734</v>
      </c>
      <c r="R46" s="154">
        <v>80</v>
      </c>
      <c r="S46" s="154"/>
      <c r="T46" s="170" t="s">
        <v>495</v>
      </c>
      <c r="U46" s="154">
        <v>4</v>
      </c>
      <c r="V46" s="361"/>
      <c r="W46" s="361"/>
      <c r="X46" s="361"/>
      <c r="Y46" s="361"/>
      <c r="Z46" s="361"/>
      <c r="AA46" s="353"/>
      <c r="AB46" s="242"/>
    </row>
    <row r="47" spans="1:28" s="208" customFormat="1" ht="24" x14ac:dyDescent="0.35">
      <c r="A47" s="355"/>
      <c r="B47" s="205"/>
      <c r="C47" s="207" t="s">
        <v>485</v>
      </c>
      <c r="D47" s="167">
        <v>45224.52</v>
      </c>
      <c r="E47" s="167">
        <v>0</v>
      </c>
      <c r="F47" s="167">
        <v>8414.1600000000035</v>
      </c>
      <c r="G47" s="167"/>
      <c r="H47" s="167">
        <v>2327.89</v>
      </c>
      <c r="I47" s="167">
        <v>2327.89</v>
      </c>
      <c r="J47" s="167">
        <v>53638.68</v>
      </c>
      <c r="K47" s="167">
        <v>17164.3776</v>
      </c>
      <c r="L47" s="360"/>
      <c r="M47" s="167" t="s">
        <v>387</v>
      </c>
      <c r="N47" s="154" t="s">
        <v>365</v>
      </c>
      <c r="O47" s="169">
        <v>45553</v>
      </c>
      <c r="P47" s="170"/>
      <c r="Q47" s="207">
        <v>1734</v>
      </c>
      <c r="R47" s="154">
        <v>100</v>
      </c>
      <c r="S47" s="154"/>
      <c r="T47" s="170" t="s">
        <v>523</v>
      </c>
      <c r="U47" s="154">
        <v>1</v>
      </c>
      <c r="V47" s="361"/>
      <c r="W47" s="361"/>
      <c r="X47" s="361"/>
      <c r="Y47" s="361"/>
      <c r="Z47" s="361"/>
      <c r="AA47" s="353"/>
      <c r="AB47" s="242"/>
    </row>
    <row r="48" spans="1:28" s="356" customFormat="1" ht="112.5" customHeight="1" x14ac:dyDescent="0.35">
      <c r="B48" s="205" t="s">
        <v>566</v>
      </c>
      <c r="C48" s="207" t="s">
        <v>485</v>
      </c>
      <c r="D48" s="167">
        <f>(1/7)*22762.92</f>
        <v>3251.8457142857137</v>
      </c>
      <c r="E48" s="167">
        <f>(1/7)*3623.84</f>
        <v>517.69142857142856</v>
      </c>
      <c r="F48" s="167">
        <f>(1/7)*7661.52</f>
        <v>1094.5028571428572</v>
      </c>
      <c r="G48" s="167"/>
      <c r="H48" s="167">
        <f>(1/7)*2010.78</f>
        <v>287.25428571428569</v>
      </c>
      <c r="I48" s="167">
        <f>(1/7)*2010.78</f>
        <v>287.25428571428569</v>
      </c>
      <c r="J48" s="167">
        <f>(1/7)*34048.28</f>
        <v>4864.04</v>
      </c>
      <c r="K48" s="167">
        <f>(1/7)*9735.8208</f>
        <v>1390.8315428571427</v>
      </c>
      <c r="L48" s="168">
        <f>(1/7)*2700</f>
        <v>385.71428571428567</v>
      </c>
      <c r="M48" s="154" t="s">
        <v>387</v>
      </c>
      <c r="N48" s="154" t="s">
        <v>365</v>
      </c>
      <c r="O48" s="169">
        <v>38930</v>
      </c>
      <c r="P48" s="170"/>
      <c r="Q48" s="154">
        <v>1734</v>
      </c>
      <c r="R48" s="171">
        <f>(1/7)*100</f>
        <v>14.285714285714285</v>
      </c>
      <c r="S48" s="154"/>
      <c r="T48" s="170" t="s">
        <v>506</v>
      </c>
      <c r="U48" s="170">
        <v>8</v>
      </c>
      <c r="V48" s="175"/>
      <c r="W48" s="162"/>
      <c r="X48" s="162"/>
      <c r="Y48" s="162"/>
      <c r="Z48" s="162"/>
      <c r="AA48" s="242"/>
      <c r="AB48" s="242"/>
    </row>
    <row r="49" spans="1:29" ht="145.5" customHeight="1" x14ac:dyDescent="0.35">
      <c r="B49" s="166" t="s">
        <v>567</v>
      </c>
      <c r="C49" s="207" t="s">
        <v>485</v>
      </c>
      <c r="D49" s="167">
        <v>2406.194</v>
      </c>
      <c r="E49" s="167">
        <v>170.423</v>
      </c>
      <c r="F49" s="167">
        <v>408.92600000000022</v>
      </c>
      <c r="G49" s="167"/>
      <c r="H49" s="167">
        <v>201.07999999999998</v>
      </c>
      <c r="I49" s="167">
        <v>201.07999999999998</v>
      </c>
      <c r="J49" s="167">
        <v>2985.5430000000001</v>
      </c>
      <c r="K49" s="167">
        <v>900.83839999999998</v>
      </c>
      <c r="L49" s="360">
        <v>0</v>
      </c>
      <c r="M49" s="167" t="s">
        <v>390</v>
      </c>
      <c r="N49" s="154" t="s">
        <v>365</v>
      </c>
      <c r="O49" s="169">
        <v>39167</v>
      </c>
      <c r="P49" s="159"/>
      <c r="Q49" s="154">
        <v>1734</v>
      </c>
      <c r="R49" s="171">
        <v>10</v>
      </c>
      <c r="S49" s="362"/>
      <c r="T49" s="170" t="s">
        <v>508</v>
      </c>
      <c r="U49" s="170">
        <v>8</v>
      </c>
      <c r="V49" s="361"/>
      <c r="W49" s="162"/>
      <c r="X49" s="39"/>
      <c r="Y49" s="39"/>
      <c r="Z49" s="39"/>
      <c r="AA49" s="261"/>
      <c r="AB49" s="261"/>
    </row>
    <row r="50" spans="1:29" ht="145.5" customHeight="1" x14ac:dyDescent="0.35">
      <c r="B50" s="166" t="s">
        <v>567</v>
      </c>
      <c r="C50" s="207" t="s">
        <v>485</v>
      </c>
      <c r="D50" s="167">
        <v>2387.252</v>
      </c>
      <c r="E50" s="167">
        <v>143.655</v>
      </c>
      <c r="F50" s="167">
        <v>482.39799999999997</v>
      </c>
      <c r="G50" s="167"/>
      <c r="H50" s="167">
        <v>201.10499999999999</v>
      </c>
      <c r="I50" s="167">
        <v>201.10499999999999</v>
      </c>
      <c r="J50" s="167">
        <v>3013.3049999999998</v>
      </c>
      <c r="K50" s="167">
        <v>918.28800000000012</v>
      </c>
      <c r="L50" s="360">
        <v>0</v>
      </c>
      <c r="M50" s="167" t="s">
        <v>387</v>
      </c>
      <c r="N50" s="154" t="s">
        <v>365</v>
      </c>
      <c r="O50" s="169">
        <v>38845</v>
      </c>
      <c r="P50" s="159"/>
      <c r="Q50" s="154">
        <v>1734</v>
      </c>
      <c r="R50" s="171">
        <v>10</v>
      </c>
      <c r="S50" s="362"/>
      <c r="T50" s="170" t="s">
        <v>509</v>
      </c>
      <c r="U50" s="170">
        <v>8</v>
      </c>
      <c r="V50" s="361"/>
      <c r="W50" s="162"/>
      <c r="X50" s="39"/>
      <c r="Y50" s="39"/>
      <c r="Z50" s="39"/>
      <c r="AA50" s="261"/>
      <c r="AB50" s="261"/>
    </row>
    <row r="51" spans="1:29" ht="145.5" customHeight="1" x14ac:dyDescent="0.35">
      <c r="B51" s="166" t="s">
        <v>567</v>
      </c>
      <c r="C51" s="207" t="s">
        <v>485</v>
      </c>
      <c r="D51" s="167">
        <v>3242.0080000000003</v>
      </c>
      <c r="E51" s="167">
        <v>1515.021</v>
      </c>
      <c r="F51" s="167">
        <v>5267.9680000000008</v>
      </c>
      <c r="G51" s="167"/>
      <c r="H51" s="167">
        <v>557.42200000000003</v>
      </c>
      <c r="I51" s="167">
        <v>557.42200000000003</v>
      </c>
      <c r="J51" s="167">
        <v>10024.996999999999</v>
      </c>
      <c r="K51" s="167">
        <v>1812.672</v>
      </c>
      <c r="L51" s="360">
        <v>1250</v>
      </c>
      <c r="M51" s="167" t="s">
        <v>387</v>
      </c>
      <c r="N51" s="154" t="s">
        <v>365</v>
      </c>
      <c r="O51" s="169">
        <v>33273</v>
      </c>
      <c r="P51" s="159"/>
      <c r="Q51" s="154">
        <v>1734</v>
      </c>
      <c r="R51" s="171">
        <v>10</v>
      </c>
      <c r="S51" s="362"/>
      <c r="T51" s="170" t="s">
        <v>510</v>
      </c>
      <c r="U51" s="170">
        <v>6</v>
      </c>
      <c r="V51" s="361"/>
      <c r="W51" s="162"/>
      <c r="X51" s="39"/>
      <c r="Y51" s="39"/>
      <c r="Z51" s="39"/>
      <c r="AA51" s="261"/>
      <c r="AB51" s="261"/>
    </row>
    <row r="52" spans="1:29" ht="145.5" customHeight="1" x14ac:dyDescent="0.35">
      <c r="B52" s="166" t="s">
        <v>567</v>
      </c>
      <c r="C52" s="207" t="s">
        <v>485</v>
      </c>
      <c r="D52" s="167">
        <v>3097.57</v>
      </c>
      <c r="E52" s="167">
        <v>565.12999999999988</v>
      </c>
      <c r="F52" s="167">
        <v>3069.3339999999994</v>
      </c>
      <c r="G52" s="167"/>
      <c r="H52" s="167">
        <v>366.48399999999998</v>
      </c>
      <c r="I52" s="167">
        <v>366.48399999999998</v>
      </c>
      <c r="J52" s="167">
        <v>6732.0339999999997</v>
      </c>
      <c r="K52" s="167">
        <v>1812.672</v>
      </c>
      <c r="L52" s="360">
        <v>432</v>
      </c>
      <c r="M52" s="167" t="s">
        <v>387</v>
      </c>
      <c r="N52" s="154" t="s">
        <v>365</v>
      </c>
      <c r="O52" s="169">
        <v>31845</v>
      </c>
      <c r="P52" s="159"/>
      <c r="Q52" s="154">
        <v>1734</v>
      </c>
      <c r="R52" s="171">
        <v>10</v>
      </c>
      <c r="S52" s="362"/>
      <c r="T52" s="170" t="s">
        <v>511</v>
      </c>
      <c r="U52" s="170">
        <v>2</v>
      </c>
      <c r="V52" s="361"/>
      <c r="W52" s="162"/>
      <c r="X52" s="39"/>
      <c r="Y52" s="39"/>
      <c r="Z52" s="39"/>
      <c r="AA52" s="261"/>
      <c r="AB52" s="261"/>
    </row>
    <row r="53" spans="1:29" ht="145.5" customHeight="1" x14ac:dyDescent="0.35">
      <c r="B53" s="166" t="s">
        <v>567</v>
      </c>
      <c r="C53" s="175" t="s">
        <v>485</v>
      </c>
      <c r="D53" s="167">
        <v>1713.2079999999999</v>
      </c>
      <c r="E53" s="167">
        <v>37.150999999999996</v>
      </c>
      <c r="F53" s="167">
        <v>4162.7039999999997</v>
      </c>
      <c r="G53" s="167"/>
      <c r="H53" s="167">
        <v>417.33800000000002</v>
      </c>
      <c r="I53" s="167">
        <v>417.33800000000002</v>
      </c>
      <c r="J53" s="167">
        <v>5913.0630000000001</v>
      </c>
      <c r="K53" s="167">
        <v>1812.672</v>
      </c>
      <c r="L53" s="360">
        <v>0</v>
      </c>
      <c r="M53" s="167" t="s">
        <v>391</v>
      </c>
      <c r="N53" s="154" t="s">
        <v>365</v>
      </c>
      <c r="O53" s="169">
        <v>35977</v>
      </c>
      <c r="P53" s="159"/>
      <c r="Q53" s="154">
        <v>1734</v>
      </c>
      <c r="R53" s="171">
        <v>5</v>
      </c>
      <c r="S53" s="362"/>
      <c r="T53" s="170" t="s">
        <v>512</v>
      </c>
      <c r="U53" s="170">
        <v>1</v>
      </c>
      <c r="V53" s="361"/>
      <c r="W53" s="162"/>
      <c r="X53" s="39"/>
      <c r="Y53" s="39"/>
      <c r="Z53" s="39"/>
      <c r="AA53" s="261"/>
      <c r="AB53" s="261"/>
    </row>
    <row r="54" spans="1:29" ht="145.5" customHeight="1" x14ac:dyDescent="0.35">
      <c r="B54" s="166" t="s">
        <v>567</v>
      </c>
      <c r="C54" s="175" t="s">
        <v>485</v>
      </c>
      <c r="D54" s="167">
        <v>2606.982</v>
      </c>
      <c r="E54" s="167">
        <v>473.12299999999993</v>
      </c>
      <c r="F54" s="167">
        <v>2571.4499999999998</v>
      </c>
      <c r="G54" s="167"/>
      <c r="H54" s="167">
        <v>368.38800000000003</v>
      </c>
      <c r="I54" s="167">
        <v>368.38800000000003</v>
      </c>
      <c r="J54" s="167">
        <v>5651.5550000000003</v>
      </c>
      <c r="K54" s="167">
        <v>1657.09824</v>
      </c>
      <c r="L54" s="360">
        <v>240</v>
      </c>
      <c r="M54" s="167" t="s">
        <v>387</v>
      </c>
      <c r="N54" s="154" t="s">
        <v>365</v>
      </c>
      <c r="O54" s="169">
        <v>33493</v>
      </c>
      <c r="P54" s="159"/>
      <c r="Q54" s="154">
        <v>1734</v>
      </c>
      <c r="R54" s="171">
        <v>10</v>
      </c>
      <c r="S54" s="362"/>
      <c r="T54" s="170" t="s">
        <v>513</v>
      </c>
      <c r="U54" s="170">
        <v>8</v>
      </c>
      <c r="V54" s="361"/>
      <c r="W54" s="162"/>
      <c r="X54" s="39"/>
      <c r="Y54" s="39"/>
      <c r="Z54" s="39"/>
      <c r="AA54" s="261"/>
      <c r="AB54" s="261"/>
    </row>
    <row r="55" spans="1:29" ht="145.5" customHeight="1" x14ac:dyDescent="0.35">
      <c r="B55" s="166" t="s">
        <v>567</v>
      </c>
      <c r="C55" s="175" t="s">
        <v>485</v>
      </c>
      <c r="D55" s="167">
        <v>2118.288</v>
      </c>
      <c r="E55" s="167">
        <v>215.75200000000001</v>
      </c>
      <c r="F55" s="167">
        <v>0</v>
      </c>
      <c r="G55" s="167"/>
      <c r="H55" s="167">
        <v>150.29400000000001</v>
      </c>
      <c r="I55" s="167">
        <v>150.29400000000001</v>
      </c>
      <c r="J55" s="167">
        <v>2334.04</v>
      </c>
      <c r="K55" s="167">
        <v>677.85216000000003</v>
      </c>
      <c r="L55" s="360">
        <v>0</v>
      </c>
      <c r="M55" s="167" t="s">
        <v>390</v>
      </c>
      <c r="N55" s="154" t="s">
        <v>365</v>
      </c>
      <c r="O55" s="169">
        <v>42401</v>
      </c>
      <c r="P55" s="159"/>
      <c r="Q55" s="154">
        <v>1734</v>
      </c>
      <c r="R55" s="171">
        <v>10</v>
      </c>
      <c r="S55" s="362"/>
      <c r="T55" s="170" t="s">
        <v>514</v>
      </c>
      <c r="U55" s="170">
        <v>4</v>
      </c>
      <c r="V55" s="361"/>
      <c r="W55" s="162"/>
      <c r="X55" s="39"/>
      <c r="Y55" s="39"/>
      <c r="Z55" s="39"/>
      <c r="AA55" s="261"/>
      <c r="AB55" s="261"/>
    </row>
    <row r="56" spans="1:29" ht="145.5" customHeight="1" x14ac:dyDescent="0.35">
      <c r="B56" s="166" t="s">
        <v>567</v>
      </c>
      <c r="C56" s="175" t="s">
        <v>485</v>
      </c>
      <c r="D56" s="167">
        <v>3013.0940000000001</v>
      </c>
      <c r="E56" s="167">
        <v>117.37100000000001</v>
      </c>
      <c r="F56" s="167">
        <v>1091.7759999999994</v>
      </c>
      <c r="G56" s="167"/>
      <c r="H56" s="167">
        <v>289.33499999999998</v>
      </c>
      <c r="I56" s="167">
        <v>289.33499999999998</v>
      </c>
      <c r="J56" s="167">
        <v>4222.241</v>
      </c>
      <c r="K56" s="167">
        <v>1313.5583999999999</v>
      </c>
      <c r="L56" s="360">
        <v>0</v>
      </c>
      <c r="M56" s="167" t="s">
        <v>387</v>
      </c>
      <c r="N56" s="154" t="s">
        <v>365</v>
      </c>
      <c r="O56" s="169">
        <v>42509</v>
      </c>
      <c r="P56" s="159"/>
      <c r="Q56" s="154">
        <v>1734</v>
      </c>
      <c r="R56" s="171">
        <v>10</v>
      </c>
      <c r="S56" s="362"/>
      <c r="T56" s="170" t="s">
        <v>515</v>
      </c>
      <c r="U56" s="170">
        <v>7</v>
      </c>
      <c r="V56" s="361"/>
      <c r="W56" s="162"/>
      <c r="X56" s="39"/>
      <c r="Y56" s="39"/>
      <c r="Z56" s="39"/>
      <c r="AA56" s="261"/>
      <c r="AB56" s="261"/>
    </row>
    <row r="57" spans="1:29" ht="145.5" customHeight="1" x14ac:dyDescent="0.35">
      <c r="B57" s="166" t="s">
        <v>567</v>
      </c>
      <c r="C57" s="175" t="s">
        <v>485</v>
      </c>
      <c r="D57" s="167">
        <v>3247</v>
      </c>
      <c r="E57" s="167">
        <v>204.42800000000003</v>
      </c>
      <c r="F57" s="167">
        <v>993.11800000000005</v>
      </c>
      <c r="G57" s="167"/>
      <c r="H57" s="167">
        <v>300.84100000000001</v>
      </c>
      <c r="I57" s="167">
        <v>300.84100000000001</v>
      </c>
      <c r="J57" s="167">
        <v>4444.5460000000003</v>
      </c>
      <c r="K57" s="167">
        <v>1356.8377599999999</v>
      </c>
      <c r="L57" s="360">
        <v>0</v>
      </c>
      <c r="M57" s="167" t="s">
        <v>387</v>
      </c>
      <c r="N57" s="154" t="s">
        <v>365</v>
      </c>
      <c r="O57" s="169">
        <v>42522</v>
      </c>
      <c r="P57" s="159"/>
      <c r="Q57" s="154">
        <v>1734</v>
      </c>
      <c r="R57" s="171">
        <v>10</v>
      </c>
      <c r="S57" s="362"/>
      <c r="T57" s="170" t="s">
        <v>516</v>
      </c>
      <c r="U57" s="170">
        <v>1</v>
      </c>
      <c r="V57" s="361"/>
      <c r="W57" s="162"/>
      <c r="X57" s="39"/>
      <c r="Y57" s="39"/>
      <c r="Z57" s="39"/>
      <c r="AA57" s="261"/>
      <c r="AB57" s="261"/>
    </row>
    <row r="58" spans="1:29" ht="145.5" customHeight="1" x14ac:dyDescent="0.35">
      <c r="B58" s="166" t="s">
        <v>567</v>
      </c>
      <c r="C58" s="175" t="s">
        <v>485</v>
      </c>
      <c r="D58" s="167">
        <v>2230.2219999999998</v>
      </c>
      <c r="E58" s="167">
        <v>225.20100000000002</v>
      </c>
      <c r="F58" s="167">
        <v>429.92600000000022</v>
      </c>
      <c r="G58" s="167"/>
      <c r="H58" s="167">
        <v>186.48600000000002</v>
      </c>
      <c r="I58" s="167">
        <v>186.48600000000002</v>
      </c>
      <c r="J58" s="167">
        <v>2885.3489999999997</v>
      </c>
      <c r="K58" s="167">
        <v>851.24735999999996</v>
      </c>
      <c r="L58" s="360">
        <v>0</v>
      </c>
      <c r="M58" s="167" t="s">
        <v>387</v>
      </c>
      <c r="N58" s="154" t="s">
        <v>365</v>
      </c>
      <c r="O58" s="169">
        <v>44503</v>
      </c>
      <c r="P58" s="159"/>
      <c r="Q58" s="154">
        <v>1734</v>
      </c>
      <c r="R58" s="171">
        <v>10</v>
      </c>
      <c r="S58" s="362"/>
      <c r="T58" s="170" t="s">
        <v>509</v>
      </c>
      <c r="U58" s="170">
        <v>8</v>
      </c>
      <c r="V58" s="361"/>
      <c r="W58" s="162"/>
      <c r="X58" s="39"/>
      <c r="Y58" s="39"/>
      <c r="Z58" s="39"/>
      <c r="AA58" s="261"/>
      <c r="AB58" s="261"/>
    </row>
    <row r="59" spans="1:29" ht="14.25" customHeight="1" x14ac:dyDescent="0.35">
      <c r="B59" s="135"/>
      <c r="Z59" s="126"/>
      <c r="AA59" s="253"/>
      <c r="AB59" s="253"/>
      <c r="AC59" s="126"/>
    </row>
    <row r="60" spans="1:29" x14ac:dyDescent="0.35">
      <c r="B60" s="135"/>
      <c r="Y60" s="126"/>
      <c r="Z60" s="126"/>
      <c r="AA60" s="253"/>
      <c r="AB60" s="253"/>
      <c r="AC60" s="126"/>
    </row>
    <row r="61" spans="1:29" ht="19" thickBot="1" x14ac:dyDescent="0.5">
      <c r="B61" s="18" t="s">
        <v>17</v>
      </c>
      <c r="C61" s="1"/>
      <c r="AA61" s="45"/>
      <c r="AB61" s="45"/>
    </row>
    <row r="62" spans="1:29" ht="33.75" customHeight="1" x14ac:dyDescent="0.35">
      <c r="B62" s="19" t="s">
        <v>344</v>
      </c>
      <c r="C62" s="19" t="s">
        <v>2</v>
      </c>
      <c r="D62" s="19" t="s">
        <v>21</v>
      </c>
      <c r="E62" s="19" t="s">
        <v>1</v>
      </c>
      <c r="F62" s="19" t="s">
        <v>22</v>
      </c>
      <c r="G62" s="19" t="s">
        <v>14</v>
      </c>
      <c r="H62" s="19" t="s">
        <v>18</v>
      </c>
      <c r="I62" s="19" t="s">
        <v>15</v>
      </c>
      <c r="J62" s="19" t="s">
        <v>10</v>
      </c>
      <c r="K62" s="19" t="s">
        <v>23</v>
      </c>
      <c r="L62" s="19" t="s">
        <v>16</v>
      </c>
      <c r="M62" s="19" t="s">
        <v>3</v>
      </c>
      <c r="N62" s="19" t="s">
        <v>11</v>
      </c>
      <c r="O62" s="19" t="s">
        <v>4</v>
      </c>
      <c r="P62" s="19" t="s">
        <v>5</v>
      </c>
      <c r="Q62" s="19" t="s">
        <v>24</v>
      </c>
      <c r="R62" s="19" t="s">
        <v>25</v>
      </c>
      <c r="S62" s="19" t="s">
        <v>26</v>
      </c>
      <c r="T62" s="19" t="s">
        <v>27</v>
      </c>
      <c r="U62" s="19" t="s">
        <v>6</v>
      </c>
      <c r="V62" s="19" t="s">
        <v>7</v>
      </c>
      <c r="W62" s="19" t="s">
        <v>28</v>
      </c>
      <c r="X62" s="19" t="s">
        <v>29</v>
      </c>
      <c r="Y62" s="19" t="s">
        <v>30</v>
      </c>
      <c r="Z62" s="19" t="s">
        <v>31</v>
      </c>
      <c r="AA62" s="57" t="s">
        <v>8</v>
      </c>
      <c r="AB62" s="57" t="s">
        <v>9</v>
      </c>
    </row>
    <row r="63" spans="1:29" s="208" customFormat="1" ht="24" x14ac:dyDescent="0.35">
      <c r="A63" s="355"/>
      <c r="B63" s="154"/>
      <c r="C63" s="207" t="s">
        <v>485</v>
      </c>
      <c r="D63" s="156">
        <v>0</v>
      </c>
      <c r="E63" s="156">
        <v>0</v>
      </c>
      <c r="F63" s="156">
        <v>0</v>
      </c>
      <c r="G63" s="156"/>
      <c r="H63" s="156">
        <v>0</v>
      </c>
      <c r="I63" s="156">
        <v>0</v>
      </c>
      <c r="J63" s="156">
        <v>0</v>
      </c>
      <c r="K63" s="156">
        <v>0</v>
      </c>
      <c r="L63" s="157">
        <v>0</v>
      </c>
      <c r="M63" s="154" t="s">
        <v>387</v>
      </c>
      <c r="N63" s="154" t="s">
        <v>365</v>
      </c>
      <c r="O63" s="158">
        <v>33366</v>
      </c>
      <c r="P63" s="170"/>
      <c r="Q63" s="160">
        <v>1734</v>
      </c>
      <c r="R63" s="160">
        <v>100</v>
      </c>
      <c r="S63" s="158"/>
      <c r="T63" s="161" t="s">
        <v>488</v>
      </c>
      <c r="U63" s="161">
        <v>2</v>
      </c>
      <c r="V63" s="173"/>
      <c r="W63" s="172"/>
      <c r="X63" s="162"/>
      <c r="Y63" s="162"/>
      <c r="Z63" s="162"/>
      <c r="AA63" s="242"/>
      <c r="AB63" s="242"/>
    </row>
    <row r="64" spans="1:29" x14ac:dyDescent="0.35">
      <c r="B64" s="4"/>
      <c r="C64" s="35"/>
      <c r="D64" s="5"/>
      <c r="E64" s="5"/>
      <c r="F64" s="5"/>
      <c r="G64" s="5"/>
      <c r="H64" s="5"/>
      <c r="I64" s="5"/>
      <c r="J64" s="5"/>
      <c r="K64" s="5"/>
      <c r="L64" s="4"/>
      <c r="M64" s="4"/>
      <c r="N64" s="4"/>
      <c r="O64" s="6"/>
      <c r="P64" s="7"/>
      <c r="Q64" s="8"/>
      <c r="R64" s="8"/>
      <c r="S64" s="8"/>
      <c r="T64" s="9"/>
      <c r="U64" s="9"/>
      <c r="V64" s="10"/>
      <c r="W64" s="36"/>
      <c r="X64" s="36" t="s">
        <v>0</v>
      </c>
      <c r="Y64" s="36"/>
      <c r="Z64" s="36"/>
      <c r="AA64" s="281"/>
      <c r="AB64" s="281"/>
    </row>
    <row r="65" spans="2:29" x14ac:dyDescent="0.35">
      <c r="B65" s="4"/>
      <c r="C65" s="35"/>
      <c r="D65" s="5"/>
      <c r="E65" s="5"/>
      <c r="F65" s="5"/>
      <c r="G65" s="5"/>
      <c r="H65" s="5"/>
      <c r="I65" s="5"/>
      <c r="J65" s="5"/>
      <c r="K65" s="5"/>
      <c r="L65" s="4"/>
      <c r="M65" s="4"/>
      <c r="N65" s="4"/>
      <c r="O65" s="6"/>
      <c r="P65" s="7"/>
      <c r="Q65" s="8"/>
      <c r="R65" s="8"/>
      <c r="S65" s="8"/>
      <c r="T65" s="9"/>
      <c r="U65" s="9"/>
      <c r="V65" s="10"/>
      <c r="W65" s="36"/>
      <c r="X65" s="36" t="s">
        <v>0</v>
      </c>
      <c r="Y65" s="36"/>
      <c r="Z65" s="36"/>
      <c r="AA65" s="281"/>
      <c r="AB65" s="281"/>
    </row>
    <row r="66" spans="2:29" x14ac:dyDescent="0.35">
      <c r="B66" s="4"/>
      <c r="C66" s="35"/>
      <c r="D66" s="5"/>
      <c r="E66" s="5"/>
      <c r="F66" s="5"/>
      <c r="G66" s="5"/>
      <c r="H66" s="5"/>
      <c r="I66" s="5"/>
      <c r="J66" s="5"/>
      <c r="K66" s="5"/>
      <c r="L66" s="4"/>
      <c r="M66" s="4"/>
      <c r="N66" s="4"/>
      <c r="O66" s="6"/>
      <c r="P66" s="7"/>
      <c r="Q66" s="8"/>
      <c r="R66" s="8"/>
      <c r="S66" s="8"/>
      <c r="T66" s="9"/>
      <c r="U66" s="9"/>
      <c r="V66" s="10"/>
      <c r="W66" s="36"/>
      <c r="X66" s="36" t="s">
        <v>0</v>
      </c>
      <c r="Y66" s="36"/>
      <c r="Z66" s="36"/>
      <c r="AA66" s="281"/>
      <c r="AB66" s="281"/>
    </row>
    <row r="67" spans="2:29" x14ac:dyDescent="0.35">
      <c r="B67" s="4"/>
      <c r="C67" s="35"/>
      <c r="D67" s="5"/>
      <c r="E67" s="5"/>
      <c r="F67" s="5"/>
      <c r="G67" s="5"/>
      <c r="H67" s="5"/>
      <c r="I67" s="5"/>
      <c r="J67" s="5"/>
      <c r="K67" s="5"/>
      <c r="L67" s="4"/>
      <c r="M67" s="4"/>
      <c r="N67" s="4"/>
      <c r="O67" s="6"/>
      <c r="P67" s="7"/>
      <c r="Q67" s="8"/>
      <c r="R67" s="8"/>
      <c r="S67" s="8"/>
      <c r="T67" s="9"/>
      <c r="U67" s="9"/>
      <c r="V67" s="10"/>
      <c r="W67" s="36"/>
      <c r="X67" s="36" t="s">
        <v>0</v>
      </c>
      <c r="Y67" s="36"/>
      <c r="Z67" s="36"/>
      <c r="AA67" s="281"/>
      <c r="AB67" s="281"/>
    </row>
    <row r="68" spans="2:29" x14ac:dyDescent="0.35">
      <c r="B68" s="4"/>
      <c r="C68" s="35"/>
      <c r="D68" s="5"/>
      <c r="E68" s="5"/>
      <c r="F68" s="5"/>
      <c r="G68" s="5"/>
      <c r="H68" s="5"/>
      <c r="I68" s="5"/>
      <c r="J68" s="5"/>
      <c r="K68" s="5"/>
      <c r="L68" s="4"/>
      <c r="M68" s="4"/>
      <c r="N68" s="4"/>
      <c r="O68" s="6"/>
      <c r="P68" s="7"/>
      <c r="Q68" s="8"/>
      <c r="R68" s="8"/>
      <c r="S68" s="8"/>
      <c r="T68" s="9"/>
      <c r="U68" s="9"/>
      <c r="V68" s="10"/>
      <c r="W68" s="36"/>
      <c r="X68" s="36" t="s">
        <v>0</v>
      </c>
      <c r="Y68" s="36"/>
      <c r="Z68" s="36"/>
      <c r="AA68" s="281"/>
      <c r="AB68" s="281"/>
    </row>
    <row r="69" spans="2:29" x14ac:dyDescent="0.35">
      <c r="B69" s="127"/>
      <c r="C69" s="127"/>
      <c r="D69" s="128"/>
      <c r="E69" s="129"/>
      <c r="F69" s="129"/>
      <c r="G69" s="129"/>
      <c r="H69" s="129"/>
      <c r="I69" s="129"/>
      <c r="J69" s="129"/>
      <c r="K69" s="129"/>
      <c r="L69" s="129"/>
      <c r="M69" s="127"/>
      <c r="N69" s="127"/>
      <c r="O69" s="127"/>
      <c r="P69" s="130"/>
      <c r="Q69" s="131"/>
      <c r="R69" s="132"/>
      <c r="S69" s="132"/>
      <c r="T69" s="132"/>
      <c r="U69" s="133"/>
      <c r="V69" s="133"/>
      <c r="W69" s="134"/>
      <c r="X69" s="126"/>
      <c r="Y69" s="126"/>
      <c r="Z69" s="126"/>
      <c r="AA69" s="126"/>
      <c r="AB69" s="126"/>
      <c r="AC69" s="126"/>
    </row>
    <row r="70" spans="2:29" x14ac:dyDescent="0.35">
      <c r="B70" s="127"/>
      <c r="C70" s="127"/>
      <c r="D70" s="128"/>
      <c r="E70" s="129"/>
      <c r="F70" s="129"/>
      <c r="G70" s="129"/>
      <c r="H70" s="129"/>
      <c r="I70" s="129"/>
      <c r="J70" s="129"/>
      <c r="K70" s="129"/>
      <c r="L70" s="129"/>
      <c r="M70" s="127"/>
      <c r="N70" s="127"/>
      <c r="O70" s="127"/>
      <c r="P70" s="130"/>
      <c r="Q70" s="131"/>
      <c r="R70" s="132"/>
      <c r="S70" s="132"/>
      <c r="T70" s="132"/>
      <c r="U70" s="133"/>
      <c r="V70" s="133"/>
      <c r="W70" s="134"/>
      <c r="X70" s="126"/>
      <c r="Y70" s="126"/>
      <c r="Z70" s="126"/>
      <c r="AA70" s="126"/>
      <c r="AB70" s="126"/>
      <c r="AC70" s="126"/>
    </row>
    <row r="71" spans="2:29" x14ac:dyDescent="0.35">
      <c r="B71" s="135"/>
      <c r="C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  <c r="Q71" s="13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D60"/>
  <sheetViews>
    <sheetView workbookViewId="0">
      <selection activeCell="B2" sqref="B2:AB57"/>
    </sheetView>
  </sheetViews>
  <sheetFormatPr defaultColWidth="11.453125" defaultRowHeight="14.5" x14ac:dyDescent="0.35"/>
  <cols>
    <col min="1" max="1" width="9.453125" bestFit="1" customWidth="1"/>
    <col min="2" max="2" width="25.54296875" customWidth="1"/>
    <col min="3" max="3" width="13.54296875" customWidth="1"/>
    <col min="4" max="4" width="17.453125" customWidth="1"/>
    <col min="5" max="5" width="14.26953125" customWidth="1"/>
    <col min="6" max="6" width="17.81640625" customWidth="1"/>
    <col min="7" max="7" width="13.1796875" customWidth="1"/>
    <col min="8" max="8" width="12" customWidth="1"/>
    <col min="9" max="9" width="13.81640625" customWidth="1"/>
    <col min="10" max="10" width="13.26953125" customWidth="1"/>
    <col min="11" max="11" width="13.7265625" customWidth="1"/>
    <col min="12" max="12" width="17.1796875" customWidth="1"/>
    <col min="13" max="13" width="12.26953125" customWidth="1"/>
    <col min="14" max="14" width="10.54296875" customWidth="1"/>
    <col min="15" max="16" width="25.54296875" customWidth="1"/>
    <col min="17" max="17" width="19.453125" customWidth="1"/>
    <col min="18" max="18" width="17" customWidth="1"/>
    <col min="19" max="19" width="16.81640625" customWidth="1"/>
    <col min="20" max="20" width="25.54296875" customWidth="1"/>
    <col min="21" max="21" width="9" bestFit="1" customWidth="1"/>
    <col min="22" max="22" width="12.26953125" customWidth="1"/>
    <col min="23" max="23" width="12.1796875" customWidth="1"/>
    <col min="24" max="24" width="12.453125" customWidth="1"/>
    <col min="25" max="25" width="16.54296875" customWidth="1"/>
    <col min="26" max="26" width="20.26953125" customWidth="1"/>
    <col min="27" max="27" width="15.26953125" customWidth="1"/>
    <col min="28" max="28" width="12.81640625" customWidth="1"/>
    <col min="29" max="30" width="25.54296875" customWidth="1"/>
  </cols>
  <sheetData>
    <row r="2" spans="2:28" ht="18.5" x14ac:dyDescent="0.45">
      <c r="B2" s="18" t="s">
        <v>13</v>
      </c>
      <c r="C2" s="1"/>
    </row>
    <row r="3" spans="2:28" x14ac:dyDescent="0.35">
      <c r="B3" s="23"/>
      <c r="C3" s="23"/>
      <c r="F3" s="23"/>
      <c r="Q3" s="23"/>
      <c r="R3" s="23"/>
      <c r="S3" s="23"/>
    </row>
    <row r="4" spans="2:28" ht="15.5" x14ac:dyDescent="0.35">
      <c r="B4" s="62" t="s">
        <v>12</v>
      </c>
      <c r="C4" s="296" t="s">
        <v>378</v>
      </c>
      <c r="D4" s="297"/>
      <c r="E4" s="297"/>
      <c r="F4" s="298"/>
      <c r="Q4" s="23"/>
      <c r="R4" s="23"/>
      <c r="S4" s="23"/>
    </row>
    <row r="5" spans="2:28" ht="15.5" x14ac:dyDescent="0.35">
      <c r="B5" s="62" t="s">
        <v>20</v>
      </c>
      <c r="C5" s="296" t="s">
        <v>379</v>
      </c>
      <c r="D5" s="297"/>
      <c r="E5" s="300"/>
      <c r="F5" s="301"/>
      <c r="Q5" s="23"/>
      <c r="R5" s="23"/>
      <c r="S5" s="23"/>
    </row>
    <row r="6" spans="2:28" ht="15.5" x14ac:dyDescent="0.35">
      <c r="B6" s="64" t="s">
        <v>19</v>
      </c>
      <c r="C6" s="423" t="s">
        <v>380</v>
      </c>
      <c r="D6" s="424"/>
      <c r="E6" s="299"/>
      <c r="F6" s="295"/>
      <c r="Q6" s="23"/>
      <c r="R6" s="23"/>
      <c r="S6" s="23"/>
    </row>
    <row r="7" spans="2:28" ht="15.5" x14ac:dyDescent="0.35">
      <c r="B7" s="62" t="s">
        <v>32</v>
      </c>
      <c r="C7" s="302">
        <v>45485</v>
      </c>
      <c r="D7" s="102"/>
      <c r="E7" s="50"/>
    </row>
    <row r="8" spans="2:28" ht="15.5" x14ac:dyDescent="0.35">
      <c r="B8" s="70"/>
      <c r="C8" s="103"/>
      <c r="D8" s="103"/>
    </row>
    <row r="9" spans="2:28" ht="15" thickBot="1" x14ac:dyDescent="0.4">
      <c r="B9" s="104"/>
    </row>
    <row r="10" spans="2:28" ht="33.75" customHeight="1" thickBot="1" x14ac:dyDescent="0.4">
      <c r="B10" s="338" t="s">
        <v>344</v>
      </c>
      <c r="C10" s="338" t="s">
        <v>2</v>
      </c>
      <c r="D10" s="338" t="s">
        <v>381</v>
      </c>
      <c r="E10" s="338" t="s">
        <v>382</v>
      </c>
      <c r="F10" s="338" t="s">
        <v>383</v>
      </c>
      <c r="G10" s="338" t="s">
        <v>14</v>
      </c>
      <c r="H10" s="338" t="s">
        <v>18</v>
      </c>
      <c r="I10" s="338" t="s">
        <v>15</v>
      </c>
      <c r="J10" s="338" t="s">
        <v>10</v>
      </c>
      <c r="K10" s="338" t="s">
        <v>23</v>
      </c>
      <c r="L10" s="338" t="s">
        <v>16</v>
      </c>
      <c r="M10" s="338" t="s">
        <v>3</v>
      </c>
      <c r="N10" s="338" t="s">
        <v>11</v>
      </c>
      <c r="O10" s="338" t="s">
        <v>4</v>
      </c>
      <c r="P10" s="338" t="s">
        <v>5</v>
      </c>
      <c r="Q10" s="338" t="s">
        <v>24</v>
      </c>
      <c r="R10" s="338" t="s">
        <v>25</v>
      </c>
      <c r="S10" s="338" t="s">
        <v>26</v>
      </c>
      <c r="T10" s="384" t="s">
        <v>27</v>
      </c>
      <c r="U10" s="338" t="s">
        <v>6</v>
      </c>
      <c r="V10" s="338" t="s">
        <v>7</v>
      </c>
      <c r="W10" s="338" t="s">
        <v>28</v>
      </c>
      <c r="X10" s="338" t="s">
        <v>29</v>
      </c>
      <c r="Y10" s="338" t="s">
        <v>384</v>
      </c>
      <c r="Z10" s="338" t="s">
        <v>385</v>
      </c>
      <c r="AA10" s="339" t="s">
        <v>8</v>
      </c>
      <c r="AB10" s="339" t="s">
        <v>9</v>
      </c>
    </row>
    <row r="11" spans="2:28" x14ac:dyDescent="0.35">
      <c r="B11" s="109"/>
      <c r="C11" s="109" t="s">
        <v>386</v>
      </c>
      <c r="D11" s="106">
        <v>40319.82</v>
      </c>
      <c r="E11" s="106">
        <v>6506.02</v>
      </c>
      <c r="F11" s="106"/>
      <c r="G11" s="106"/>
      <c r="H11" s="106">
        <v>2755.1</v>
      </c>
      <c r="I11" s="106">
        <v>2754.87</v>
      </c>
      <c r="J11" s="106">
        <v>52335.81</v>
      </c>
      <c r="K11" s="106">
        <v>14245.89</v>
      </c>
      <c r="L11" s="109"/>
      <c r="M11" s="109" t="s">
        <v>387</v>
      </c>
      <c r="N11" s="109"/>
      <c r="O11" s="107">
        <v>36993</v>
      </c>
      <c r="P11" s="385"/>
      <c r="Q11" s="108">
        <v>1</v>
      </c>
      <c r="R11" s="109"/>
      <c r="S11" s="107"/>
      <c r="T11" s="386" t="s">
        <v>388</v>
      </c>
      <c r="U11" s="385" t="s">
        <v>389</v>
      </c>
      <c r="V11" s="303"/>
      <c r="W11" s="387"/>
      <c r="X11" s="387"/>
      <c r="Y11" s="387"/>
      <c r="Z11" s="387"/>
      <c r="AA11" s="387"/>
      <c r="AB11" s="387"/>
    </row>
    <row r="12" spans="2:28" x14ac:dyDescent="0.35">
      <c r="B12" s="113"/>
      <c r="C12" s="109" t="s">
        <v>386</v>
      </c>
      <c r="D12" s="110">
        <v>38753.369999999995</v>
      </c>
      <c r="E12" s="110">
        <v>6506.55</v>
      </c>
      <c r="F12" s="110"/>
      <c r="G12" s="110"/>
      <c r="H12" s="110">
        <v>2751.43</v>
      </c>
      <c r="I12" s="110">
        <v>2751.21</v>
      </c>
      <c r="J12" s="110">
        <v>50762.559999999998</v>
      </c>
      <c r="K12" s="110">
        <v>14142.51</v>
      </c>
      <c r="L12" s="113"/>
      <c r="M12" s="113" t="s">
        <v>387</v>
      </c>
      <c r="N12" s="113"/>
      <c r="O12" s="111">
        <v>36617</v>
      </c>
      <c r="P12" s="388"/>
      <c r="Q12" s="112">
        <v>1</v>
      </c>
      <c r="R12" s="113"/>
      <c r="S12" s="111"/>
      <c r="T12" s="389" t="s">
        <v>388</v>
      </c>
      <c r="U12" s="388" t="s">
        <v>389</v>
      </c>
      <c r="V12" s="113"/>
      <c r="W12" s="390"/>
      <c r="X12" s="390"/>
      <c r="Y12" s="390"/>
      <c r="Z12" s="390"/>
      <c r="AA12" s="390"/>
      <c r="AB12" s="390"/>
    </row>
    <row r="13" spans="2:28" x14ac:dyDescent="0.35">
      <c r="B13" s="113"/>
      <c r="C13" s="109" t="s">
        <v>386</v>
      </c>
      <c r="D13" s="110">
        <v>27680.959999999999</v>
      </c>
      <c r="E13" s="110">
        <v>6446.37</v>
      </c>
      <c r="F13" s="110"/>
      <c r="G13" s="110"/>
      <c r="H13" s="110">
        <v>3015.09</v>
      </c>
      <c r="I13" s="110">
        <v>0</v>
      </c>
      <c r="J13" s="110">
        <v>37142.42</v>
      </c>
      <c r="K13" s="110">
        <v>12857.63</v>
      </c>
      <c r="L13" s="113"/>
      <c r="M13" s="113" t="s">
        <v>390</v>
      </c>
      <c r="N13" s="113"/>
      <c r="O13" s="111">
        <v>39611</v>
      </c>
      <c r="P13" s="388"/>
      <c r="Q13" s="112">
        <v>0.93698630136986305</v>
      </c>
      <c r="R13" s="113"/>
      <c r="S13" s="111"/>
      <c r="T13" s="389" t="s">
        <v>388</v>
      </c>
      <c r="U13" s="388" t="s">
        <v>389</v>
      </c>
      <c r="V13" s="113"/>
      <c r="W13" s="390"/>
      <c r="X13" s="390"/>
      <c r="Y13" s="390"/>
      <c r="Z13" s="390"/>
      <c r="AA13" s="390"/>
      <c r="AB13" s="390"/>
    </row>
    <row r="14" spans="2:28" x14ac:dyDescent="0.35">
      <c r="B14" s="113"/>
      <c r="C14" s="109" t="s">
        <v>386</v>
      </c>
      <c r="D14" s="110">
        <v>26224.04</v>
      </c>
      <c r="E14" s="110">
        <v>3541.33</v>
      </c>
      <c r="F14" s="110"/>
      <c r="G14" s="110"/>
      <c r="H14" s="110">
        <v>2037.24</v>
      </c>
      <c r="I14" s="110">
        <v>2147.67</v>
      </c>
      <c r="J14" s="110">
        <v>33950.280000000006</v>
      </c>
      <c r="K14" s="110">
        <v>10298.99</v>
      </c>
      <c r="L14" s="113"/>
      <c r="M14" s="113" t="s">
        <v>387</v>
      </c>
      <c r="N14" s="113"/>
      <c r="O14" s="111">
        <v>37051</v>
      </c>
      <c r="P14" s="388"/>
      <c r="Q14" s="112">
        <v>0.77123287671232876</v>
      </c>
      <c r="R14" s="113"/>
      <c r="S14" s="111"/>
      <c r="T14" s="389" t="s">
        <v>388</v>
      </c>
      <c r="U14" s="388" t="s">
        <v>389</v>
      </c>
      <c r="V14" s="113"/>
      <c r="W14" s="390"/>
      <c r="X14" s="390"/>
      <c r="Y14" s="390"/>
      <c r="Z14" s="390"/>
      <c r="AA14" s="390"/>
      <c r="AB14" s="390"/>
    </row>
    <row r="15" spans="2:28" x14ac:dyDescent="0.35">
      <c r="B15" s="113"/>
      <c r="C15" s="109" t="s">
        <v>386</v>
      </c>
      <c r="D15" s="110">
        <v>24375.8</v>
      </c>
      <c r="E15" s="110">
        <v>2987.76</v>
      </c>
      <c r="F15" s="110"/>
      <c r="G15" s="110"/>
      <c r="H15" s="110">
        <v>1774.36</v>
      </c>
      <c r="I15" s="110">
        <v>1774.4</v>
      </c>
      <c r="J15" s="110">
        <v>30912.32</v>
      </c>
      <c r="K15" s="110">
        <v>11906.36</v>
      </c>
      <c r="L15" s="113"/>
      <c r="M15" s="113" t="s">
        <v>391</v>
      </c>
      <c r="N15" s="113"/>
      <c r="O15" s="111">
        <v>41958</v>
      </c>
      <c r="P15" s="388"/>
      <c r="Q15" s="112">
        <v>0.66700000000000004</v>
      </c>
      <c r="R15" s="113"/>
      <c r="S15" s="111"/>
      <c r="T15" s="389" t="s">
        <v>388</v>
      </c>
      <c r="U15" s="388" t="s">
        <v>389</v>
      </c>
      <c r="V15" s="117"/>
      <c r="W15" s="390"/>
      <c r="X15" s="390"/>
      <c r="Y15" s="390"/>
      <c r="Z15" s="390"/>
      <c r="AA15" s="390"/>
      <c r="AB15" s="390"/>
    </row>
    <row r="16" spans="2:28" x14ac:dyDescent="0.35">
      <c r="B16" s="113"/>
      <c r="C16" s="109" t="s">
        <v>386</v>
      </c>
      <c r="D16" s="110">
        <v>28231.91</v>
      </c>
      <c r="E16" s="110">
        <v>4027.17</v>
      </c>
      <c r="F16" s="110"/>
      <c r="G16" s="110"/>
      <c r="H16" s="110">
        <v>2063.5700000000002</v>
      </c>
      <c r="I16" s="110">
        <v>2063.41</v>
      </c>
      <c r="J16" s="110">
        <v>36386.06</v>
      </c>
      <c r="K16" s="110">
        <v>14139.15</v>
      </c>
      <c r="L16" s="113"/>
      <c r="M16" s="113" t="s">
        <v>387</v>
      </c>
      <c r="N16" s="113"/>
      <c r="O16" s="111">
        <v>36721</v>
      </c>
      <c r="P16" s="388"/>
      <c r="Q16" s="112">
        <v>0.75</v>
      </c>
      <c r="R16" s="113"/>
      <c r="S16" s="111"/>
      <c r="T16" s="389" t="s">
        <v>388</v>
      </c>
      <c r="U16" s="388" t="s">
        <v>389</v>
      </c>
      <c r="V16" s="117"/>
      <c r="W16" s="390"/>
      <c r="X16" s="390"/>
      <c r="Y16" s="390"/>
      <c r="Z16" s="390"/>
      <c r="AA16" s="390"/>
      <c r="AB16" s="390"/>
    </row>
    <row r="17" spans="2:28" x14ac:dyDescent="0.35">
      <c r="B17" s="113"/>
      <c r="C17" s="109" t="s">
        <v>386</v>
      </c>
      <c r="D17" s="110">
        <v>28762.43</v>
      </c>
      <c r="E17" s="110">
        <v>4369.1400000000003</v>
      </c>
      <c r="F17" s="110"/>
      <c r="G17" s="110"/>
      <c r="H17" s="110">
        <v>2011.22</v>
      </c>
      <c r="I17" s="110">
        <v>2011.21</v>
      </c>
      <c r="J17" s="110">
        <v>37154</v>
      </c>
      <c r="K17" s="110">
        <v>14044.96</v>
      </c>
      <c r="L17" s="110"/>
      <c r="M17" s="110" t="s">
        <v>387</v>
      </c>
      <c r="N17" s="113"/>
      <c r="O17" s="111">
        <v>40252</v>
      </c>
      <c r="P17" s="388"/>
      <c r="Q17" s="112">
        <v>0.75</v>
      </c>
      <c r="R17" s="113"/>
      <c r="S17" s="111"/>
      <c r="T17" s="389" t="s">
        <v>388</v>
      </c>
      <c r="U17" s="388" t="s">
        <v>389</v>
      </c>
      <c r="V17" s="114"/>
      <c r="W17" s="390"/>
      <c r="X17" s="390"/>
      <c r="Y17" s="390"/>
      <c r="Z17" s="390"/>
      <c r="AA17" s="390"/>
      <c r="AB17" s="390"/>
    </row>
    <row r="18" spans="2:28" x14ac:dyDescent="0.35">
      <c r="B18" s="113"/>
      <c r="C18" s="109" t="s">
        <v>386</v>
      </c>
      <c r="D18" s="110">
        <v>65424.4</v>
      </c>
      <c r="E18" s="110">
        <v>15688.6</v>
      </c>
      <c r="F18" s="110"/>
      <c r="G18" s="110"/>
      <c r="H18" s="110">
        <v>4110.1000000000004</v>
      </c>
      <c r="I18" s="110">
        <v>4110.1099999999997</v>
      </c>
      <c r="J18" s="110">
        <v>89333.21</v>
      </c>
      <c r="K18" s="110">
        <v>16799.28</v>
      </c>
      <c r="L18" s="110"/>
      <c r="M18" s="110" t="s">
        <v>390</v>
      </c>
      <c r="N18" s="113"/>
      <c r="O18" s="111">
        <v>40506</v>
      </c>
      <c r="P18" s="388"/>
      <c r="Q18" s="112">
        <v>1</v>
      </c>
      <c r="R18" s="113"/>
      <c r="S18" s="111"/>
      <c r="T18" s="389" t="s">
        <v>392</v>
      </c>
      <c r="U18" s="388" t="s">
        <v>393</v>
      </c>
      <c r="V18" s="114"/>
      <c r="W18" s="390"/>
      <c r="X18" s="390"/>
      <c r="Y18" s="390"/>
      <c r="Z18" s="390"/>
      <c r="AA18" s="390"/>
      <c r="AB18" s="390"/>
    </row>
    <row r="19" spans="2:28" x14ac:dyDescent="0.35">
      <c r="B19" s="113"/>
      <c r="C19" s="109" t="s">
        <v>386</v>
      </c>
      <c r="D19" s="110">
        <v>11728.71</v>
      </c>
      <c r="E19" s="110">
        <v>2908.16</v>
      </c>
      <c r="F19" s="110"/>
      <c r="G19" s="110"/>
      <c r="H19" s="110">
        <v>979.8</v>
      </c>
      <c r="I19" s="110">
        <v>738.92</v>
      </c>
      <c r="J19" s="110">
        <v>16355.589999999998</v>
      </c>
      <c r="K19" s="110">
        <v>4865.62</v>
      </c>
      <c r="L19" s="110"/>
      <c r="M19" s="110" t="s">
        <v>387</v>
      </c>
      <c r="N19" s="113"/>
      <c r="O19" s="111">
        <v>41712</v>
      </c>
      <c r="P19" s="391"/>
      <c r="Q19" s="112">
        <v>0.58082191780821923</v>
      </c>
      <c r="R19" s="113"/>
      <c r="S19" s="111"/>
      <c r="T19" s="389" t="s">
        <v>394</v>
      </c>
      <c r="U19" s="388" t="s">
        <v>395</v>
      </c>
      <c r="V19" s="114"/>
      <c r="W19" s="390"/>
      <c r="X19" s="390"/>
      <c r="Y19" s="390"/>
      <c r="Z19" s="390"/>
      <c r="AA19" s="390"/>
      <c r="AB19" s="390"/>
    </row>
    <row r="20" spans="2:28" x14ac:dyDescent="0.35">
      <c r="B20" s="113"/>
      <c r="C20" s="109" t="s">
        <v>386</v>
      </c>
      <c r="D20" s="110">
        <v>36787.83</v>
      </c>
      <c r="E20" s="110">
        <v>6147.98</v>
      </c>
      <c r="F20" s="110"/>
      <c r="G20" s="110"/>
      <c r="H20" s="110">
        <v>2664.67</v>
      </c>
      <c r="I20" s="110">
        <v>2664.65</v>
      </c>
      <c r="J20" s="110">
        <v>48265.13</v>
      </c>
      <c r="K20" s="110">
        <v>16598.57</v>
      </c>
      <c r="L20" s="110"/>
      <c r="M20" s="110" t="s">
        <v>387</v>
      </c>
      <c r="N20" s="113"/>
      <c r="O20" s="111">
        <v>41750</v>
      </c>
      <c r="P20" s="391"/>
      <c r="Q20" s="112">
        <v>1</v>
      </c>
      <c r="R20" s="113"/>
      <c r="S20" s="111"/>
      <c r="T20" s="389" t="s">
        <v>388</v>
      </c>
      <c r="U20" s="388" t="s">
        <v>389</v>
      </c>
      <c r="V20" s="114"/>
      <c r="W20" s="390"/>
      <c r="X20" s="390"/>
      <c r="Y20" s="390"/>
      <c r="Z20" s="390"/>
      <c r="AA20" s="390"/>
      <c r="AB20" s="390"/>
    </row>
    <row r="21" spans="2:28" x14ac:dyDescent="0.35">
      <c r="B21" s="113"/>
      <c r="C21" s="109" t="s">
        <v>386</v>
      </c>
      <c r="D21" s="110">
        <v>17804.88</v>
      </c>
      <c r="E21" s="110">
        <v>2920.71</v>
      </c>
      <c r="F21" s="110"/>
      <c r="G21" s="110"/>
      <c r="H21" s="110">
        <v>493.42</v>
      </c>
      <c r="I21" s="110">
        <v>2669.49</v>
      </c>
      <c r="J21" s="110">
        <v>23888.5</v>
      </c>
      <c r="K21" s="110">
        <v>14795.32</v>
      </c>
      <c r="L21" s="110"/>
      <c r="M21" s="110" t="s">
        <v>387</v>
      </c>
      <c r="N21" s="113"/>
      <c r="O21" s="111">
        <v>43221</v>
      </c>
      <c r="P21" s="388"/>
      <c r="Q21" s="112">
        <v>1</v>
      </c>
      <c r="R21" s="113"/>
      <c r="S21" s="111"/>
      <c r="T21" s="389" t="s">
        <v>388</v>
      </c>
      <c r="U21" s="388" t="s">
        <v>389</v>
      </c>
      <c r="V21" s="114"/>
      <c r="W21" s="390"/>
      <c r="X21" s="390"/>
      <c r="Y21" s="390"/>
      <c r="Z21" s="390"/>
      <c r="AA21" s="390"/>
      <c r="AB21" s="390"/>
    </row>
    <row r="22" spans="2:28" x14ac:dyDescent="0.35">
      <c r="B22" s="113"/>
      <c r="C22" s="109" t="s">
        <v>386</v>
      </c>
      <c r="D22" s="110">
        <v>38776.69</v>
      </c>
      <c r="E22" s="110">
        <v>4650.37</v>
      </c>
      <c r="F22" s="110"/>
      <c r="G22" s="110"/>
      <c r="H22" s="110">
        <v>2660.42</v>
      </c>
      <c r="I22" s="110">
        <v>2660.41</v>
      </c>
      <c r="J22" s="110">
        <v>48747.89</v>
      </c>
      <c r="K22" s="110">
        <v>16454.14</v>
      </c>
      <c r="L22" s="110"/>
      <c r="M22" s="110" t="s">
        <v>387</v>
      </c>
      <c r="N22" s="113"/>
      <c r="O22" s="111">
        <v>42100</v>
      </c>
      <c r="P22" s="391"/>
      <c r="Q22" s="112">
        <v>1</v>
      </c>
      <c r="R22" s="113"/>
      <c r="S22" s="111"/>
      <c r="T22" s="389" t="s">
        <v>388</v>
      </c>
      <c r="U22" s="388" t="s">
        <v>389</v>
      </c>
      <c r="V22" s="114"/>
      <c r="W22" s="390"/>
      <c r="X22" s="390"/>
      <c r="Y22" s="390"/>
      <c r="Z22" s="390"/>
      <c r="AA22" s="390"/>
      <c r="AB22" s="390"/>
    </row>
    <row r="23" spans="2:28" x14ac:dyDescent="0.35">
      <c r="B23" s="113"/>
      <c r="C23" s="109" t="s">
        <v>386</v>
      </c>
      <c r="D23" s="110">
        <v>71818.649999999994</v>
      </c>
      <c r="E23" s="110">
        <v>16843.009999999998</v>
      </c>
      <c r="F23" s="110"/>
      <c r="G23" s="110"/>
      <c r="H23" s="110">
        <v>4093.14</v>
      </c>
      <c r="I23" s="110">
        <v>4093.15</v>
      </c>
      <c r="J23" s="110">
        <v>96847.949999999983</v>
      </c>
      <c r="K23" s="110">
        <v>17208.84</v>
      </c>
      <c r="L23" s="110"/>
      <c r="M23" s="110" t="s">
        <v>387</v>
      </c>
      <c r="N23" s="113"/>
      <c r="O23" s="111">
        <v>42037</v>
      </c>
      <c r="P23" s="388"/>
      <c r="Q23" s="112">
        <v>1</v>
      </c>
      <c r="R23" s="113"/>
      <c r="S23" s="111"/>
      <c r="T23" s="389" t="s">
        <v>392</v>
      </c>
      <c r="U23" s="388" t="s">
        <v>393</v>
      </c>
      <c r="V23" s="114"/>
      <c r="W23" s="390"/>
      <c r="X23" s="390"/>
      <c r="Y23" s="390"/>
      <c r="Z23" s="390"/>
      <c r="AA23" s="390"/>
      <c r="AB23" s="390"/>
    </row>
    <row r="24" spans="2:28" x14ac:dyDescent="0.35">
      <c r="B24" s="113"/>
      <c r="C24" s="109" t="s">
        <v>386</v>
      </c>
      <c r="D24" s="110">
        <v>13621.85</v>
      </c>
      <c r="E24" s="110">
        <v>1808.9</v>
      </c>
      <c r="F24" s="110"/>
      <c r="G24" s="110"/>
      <c r="H24" s="110">
        <v>1125.1500000000001</v>
      </c>
      <c r="I24" s="110">
        <v>910.36</v>
      </c>
      <c r="J24" s="110">
        <v>17466.260000000002</v>
      </c>
      <c r="K24" s="110">
        <v>7605.32</v>
      </c>
      <c r="L24" s="110"/>
      <c r="M24" s="110" t="s">
        <v>387</v>
      </c>
      <c r="N24" s="113"/>
      <c r="O24" s="111">
        <v>42496</v>
      </c>
      <c r="P24" s="388"/>
      <c r="Q24" s="112">
        <v>1</v>
      </c>
      <c r="R24" s="113"/>
      <c r="S24" s="111"/>
      <c r="T24" s="389" t="s">
        <v>394</v>
      </c>
      <c r="U24" s="388" t="s">
        <v>395</v>
      </c>
      <c r="V24" s="114"/>
      <c r="W24" s="390"/>
      <c r="X24" s="390"/>
      <c r="Y24" s="390"/>
      <c r="Z24" s="390"/>
      <c r="AA24" s="390"/>
      <c r="AB24" s="390"/>
    </row>
    <row r="25" spans="2:28" x14ac:dyDescent="0.35">
      <c r="B25" s="113"/>
      <c r="C25" s="109" t="s">
        <v>386</v>
      </c>
      <c r="D25" s="110">
        <v>38051.919999999998</v>
      </c>
      <c r="E25" s="110">
        <v>9023.5299999999988</v>
      </c>
      <c r="F25" s="110"/>
      <c r="G25" s="110"/>
      <c r="H25" s="110">
        <v>2656.18</v>
      </c>
      <c r="I25" s="110">
        <v>2656.17</v>
      </c>
      <c r="J25" s="110">
        <v>52387.799999999996</v>
      </c>
      <c r="K25" s="110">
        <v>14469.49</v>
      </c>
      <c r="L25" s="110"/>
      <c r="M25" s="110" t="s">
        <v>387</v>
      </c>
      <c r="N25" s="113"/>
      <c r="O25" s="111">
        <v>42419</v>
      </c>
      <c r="P25" s="391"/>
      <c r="Q25" s="112">
        <v>1</v>
      </c>
      <c r="R25" s="113"/>
      <c r="S25" s="111"/>
      <c r="T25" s="389" t="s">
        <v>388</v>
      </c>
      <c r="U25" s="388" t="s">
        <v>389</v>
      </c>
      <c r="V25" s="114"/>
      <c r="W25" s="390"/>
      <c r="X25" s="390"/>
      <c r="Y25" s="390"/>
      <c r="Z25" s="390"/>
      <c r="AA25" s="390"/>
      <c r="AB25" s="390"/>
    </row>
    <row r="26" spans="2:28" x14ac:dyDescent="0.35">
      <c r="B26" s="113"/>
      <c r="C26" s="109" t="s">
        <v>386</v>
      </c>
      <c r="D26" s="110">
        <v>30084.57</v>
      </c>
      <c r="E26" s="110">
        <v>4425.0300000000007</v>
      </c>
      <c r="F26" s="110"/>
      <c r="G26" s="110"/>
      <c r="H26" s="110">
        <v>895.67</v>
      </c>
      <c r="I26" s="110">
        <v>2900.4</v>
      </c>
      <c r="J26" s="110">
        <v>38305.67</v>
      </c>
      <c r="K26" s="110">
        <v>12109.81</v>
      </c>
      <c r="L26" s="110"/>
      <c r="M26" s="110" t="s">
        <v>396</v>
      </c>
      <c r="N26" s="113"/>
      <c r="O26" s="111">
        <v>42516</v>
      </c>
      <c r="P26" s="388"/>
      <c r="Q26" s="112">
        <v>0.69041095890410964</v>
      </c>
      <c r="R26" s="113"/>
      <c r="S26" s="111"/>
      <c r="T26" s="389" t="s">
        <v>392</v>
      </c>
      <c r="U26" s="388" t="s">
        <v>393</v>
      </c>
      <c r="V26" s="114"/>
      <c r="W26" s="390"/>
      <c r="X26" s="390"/>
      <c r="Y26" s="390"/>
      <c r="Z26" s="390"/>
      <c r="AA26" s="390"/>
      <c r="AB26" s="390"/>
    </row>
    <row r="27" spans="2:28" x14ac:dyDescent="0.35">
      <c r="B27" s="113"/>
      <c r="C27" s="109" t="s">
        <v>386</v>
      </c>
      <c r="D27" s="110">
        <v>30958.89</v>
      </c>
      <c r="E27" s="110">
        <v>415.44</v>
      </c>
      <c r="F27" s="110"/>
      <c r="G27" s="110"/>
      <c r="H27" s="110">
        <v>1511.31</v>
      </c>
      <c r="I27" s="110">
        <v>3647.29</v>
      </c>
      <c r="J27" s="110">
        <v>36532.93</v>
      </c>
      <c r="K27" s="110">
        <v>12065.55</v>
      </c>
      <c r="L27" s="110"/>
      <c r="M27" s="110" t="s">
        <v>397</v>
      </c>
      <c r="N27" s="113"/>
      <c r="O27" s="111">
        <v>45033</v>
      </c>
      <c r="P27" s="391"/>
      <c r="Q27" s="112">
        <v>0.70958904109589038</v>
      </c>
      <c r="R27" s="113"/>
      <c r="S27" s="111"/>
      <c r="T27" s="389" t="s">
        <v>392</v>
      </c>
      <c r="U27" s="388" t="s">
        <v>393</v>
      </c>
      <c r="V27" s="114"/>
      <c r="W27" s="390"/>
      <c r="X27" s="390"/>
      <c r="Y27" s="390"/>
      <c r="Z27" s="390"/>
      <c r="AA27" s="390"/>
      <c r="AB27" s="390"/>
    </row>
    <row r="28" spans="2:28" x14ac:dyDescent="0.35">
      <c r="B28" s="113"/>
      <c r="C28" s="109" t="s">
        <v>386</v>
      </c>
      <c r="D28" s="110">
        <v>84752.25</v>
      </c>
      <c r="E28" s="110">
        <v>28464.6</v>
      </c>
      <c r="F28" s="110"/>
      <c r="G28" s="110"/>
      <c r="H28" s="110">
        <v>5199.82</v>
      </c>
      <c r="I28" s="110">
        <v>5198.96</v>
      </c>
      <c r="J28" s="110">
        <v>123615.63000000002</v>
      </c>
      <c r="K28" s="110">
        <v>16882.349999999999</v>
      </c>
      <c r="L28" s="110"/>
      <c r="M28" s="110" t="s">
        <v>387</v>
      </c>
      <c r="N28" s="113"/>
      <c r="O28" s="111">
        <v>33752</v>
      </c>
      <c r="P28" s="388"/>
      <c r="Q28" s="112">
        <v>1</v>
      </c>
      <c r="R28" s="113"/>
      <c r="S28" s="111"/>
      <c r="T28" s="389" t="s">
        <v>392</v>
      </c>
      <c r="U28" s="388" t="s">
        <v>393</v>
      </c>
      <c r="V28" s="114"/>
      <c r="W28" s="390"/>
      <c r="X28" s="390"/>
      <c r="Y28" s="390"/>
      <c r="Z28" s="390"/>
      <c r="AA28" s="390"/>
      <c r="AB28" s="390"/>
    </row>
    <row r="29" spans="2:28" x14ac:dyDescent="0.35">
      <c r="B29" s="113"/>
      <c r="C29" s="109" t="s">
        <v>386</v>
      </c>
      <c r="D29" s="110">
        <v>42859.92</v>
      </c>
      <c r="E29" s="110">
        <v>6412.3700000000008</v>
      </c>
      <c r="F29" s="110"/>
      <c r="G29" s="110"/>
      <c r="H29" s="110">
        <v>2864.74</v>
      </c>
      <c r="I29" s="110">
        <v>2863.97</v>
      </c>
      <c r="J29" s="110">
        <v>55001</v>
      </c>
      <c r="K29" s="110">
        <v>15290.02</v>
      </c>
      <c r="L29" s="110"/>
      <c r="M29" s="110" t="s">
        <v>387</v>
      </c>
      <c r="N29" s="113"/>
      <c r="O29" s="111">
        <v>32417</v>
      </c>
      <c r="P29" s="391"/>
      <c r="Q29" s="112">
        <v>1</v>
      </c>
      <c r="R29" s="113"/>
      <c r="S29" s="111"/>
      <c r="T29" s="389" t="s">
        <v>388</v>
      </c>
      <c r="U29" s="388" t="s">
        <v>389</v>
      </c>
      <c r="V29" s="114"/>
      <c r="W29" s="390"/>
      <c r="X29" s="390"/>
      <c r="Y29" s="390"/>
      <c r="Z29" s="390"/>
      <c r="AA29" s="390"/>
      <c r="AB29" s="390"/>
    </row>
    <row r="30" spans="2:28" x14ac:dyDescent="0.35">
      <c r="B30" s="113"/>
      <c r="C30" s="109" t="s">
        <v>386</v>
      </c>
      <c r="D30" s="110">
        <v>40655.57</v>
      </c>
      <c r="E30" s="110">
        <v>2027.74</v>
      </c>
      <c r="F30" s="110"/>
      <c r="G30" s="110"/>
      <c r="H30" s="110">
        <v>2904.11</v>
      </c>
      <c r="I30" s="110">
        <v>2903.15</v>
      </c>
      <c r="J30" s="110">
        <v>48490.57</v>
      </c>
      <c r="K30" s="110">
        <v>-5722.23</v>
      </c>
      <c r="L30" s="110"/>
      <c r="M30" s="110" t="s">
        <v>387</v>
      </c>
      <c r="N30" s="113"/>
      <c r="O30" s="111">
        <v>31168</v>
      </c>
      <c r="P30" s="388"/>
      <c r="Q30" s="112">
        <v>1</v>
      </c>
      <c r="R30" s="113"/>
      <c r="S30" s="111">
        <v>45971</v>
      </c>
      <c r="T30" s="389" t="s">
        <v>388</v>
      </c>
      <c r="U30" s="388" t="s">
        <v>389</v>
      </c>
      <c r="V30" s="114"/>
      <c r="W30" s="390"/>
      <c r="X30" s="390"/>
      <c r="Y30" s="390"/>
      <c r="Z30" s="390"/>
      <c r="AA30" s="390"/>
      <c r="AB30" s="390"/>
    </row>
    <row r="31" spans="2:28" x14ac:dyDescent="0.35">
      <c r="B31" s="113"/>
      <c r="C31" s="109" t="s">
        <v>386</v>
      </c>
      <c r="D31" s="110">
        <v>23543.7</v>
      </c>
      <c r="E31" s="110">
        <v>2716.72</v>
      </c>
      <c r="F31" s="110"/>
      <c r="G31" s="110"/>
      <c r="H31" s="110">
        <v>1694.37</v>
      </c>
      <c r="I31" s="110">
        <v>1694.14</v>
      </c>
      <c r="J31" s="110">
        <v>29648.93</v>
      </c>
      <c r="K31" s="110">
        <v>6775.12</v>
      </c>
      <c r="L31" s="110"/>
      <c r="M31" s="110" t="s">
        <v>387</v>
      </c>
      <c r="N31" s="113"/>
      <c r="O31" s="111">
        <v>33199</v>
      </c>
      <c r="P31" s="388"/>
      <c r="Q31" s="112">
        <v>1</v>
      </c>
      <c r="R31" s="113"/>
      <c r="S31" s="111"/>
      <c r="T31" s="389" t="s">
        <v>398</v>
      </c>
      <c r="U31" s="388" t="s">
        <v>399</v>
      </c>
      <c r="V31" s="114"/>
      <c r="W31" s="390"/>
      <c r="X31" s="390"/>
      <c r="Y31" s="390"/>
      <c r="Z31" s="390"/>
      <c r="AA31" s="390"/>
      <c r="AB31" s="390"/>
    </row>
    <row r="32" spans="2:28" x14ac:dyDescent="0.35">
      <c r="B32" s="113"/>
      <c r="C32" s="109" t="s">
        <v>386</v>
      </c>
      <c r="D32" s="110">
        <v>43438.74</v>
      </c>
      <c r="E32" s="110">
        <v>5492.71</v>
      </c>
      <c r="F32" s="110"/>
      <c r="G32" s="110"/>
      <c r="H32" s="110">
        <v>2904.11</v>
      </c>
      <c r="I32" s="110">
        <v>2903.15</v>
      </c>
      <c r="J32" s="110">
        <v>54738.71</v>
      </c>
      <c r="K32" s="110">
        <v>15268.53</v>
      </c>
      <c r="L32" s="110"/>
      <c r="M32" s="110" t="s">
        <v>387</v>
      </c>
      <c r="N32" s="113"/>
      <c r="O32" s="111">
        <v>31700</v>
      </c>
      <c r="P32" s="388"/>
      <c r="Q32" s="112">
        <v>1</v>
      </c>
      <c r="R32" s="113"/>
      <c r="S32" s="111"/>
      <c r="T32" s="389" t="s">
        <v>388</v>
      </c>
      <c r="U32" s="388" t="s">
        <v>389</v>
      </c>
      <c r="V32" s="114"/>
      <c r="W32" s="390"/>
      <c r="X32" s="390"/>
      <c r="Y32" s="390"/>
      <c r="Z32" s="390"/>
      <c r="AA32" s="390"/>
      <c r="AB32" s="390"/>
    </row>
    <row r="33" spans="2:28" x14ac:dyDescent="0.35">
      <c r="B33" s="113"/>
      <c r="C33" s="109" t="s">
        <v>386</v>
      </c>
      <c r="D33" s="110">
        <v>45126.049999999996</v>
      </c>
      <c r="E33" s="110">
        <v>7594.14</v>
      </c>
      <c r="F33" s="110"/>
      <c r="G33" s="110"/>
      <c r="H33" s="110">
        <v>2872.09</v>
      </c>
      <c r="I33" s="110">
        <v>2871.29</v>
      </c>
      <c r="J33" s="110">
        <v>58463.57</v>
      </c>
      <c r="K33" s="110">
        <v>17252.14</v>
      </c>
      <c r="L33" s="110"/>
      <c r="M33" s="110" t="s">
        <v>387</v>
      </c>
      <c r="N33" s="113"/>
      <c r="O33" s="111">
        <v>33033</v>
      </c>
      <c r="P33" s="388"/>
      <c r="Q33" s="112">
        <v>1</v>
      </c>
      <c r="R33" s="113"/>
      <c r="S33" s="111"/>
      <c r="T33" s="389" t="s">
        <v>388</v>
      </c>
      <c r="U33" s="388" t="s">
        <v>389</v>
      </c>
      <c r="V33" s="114"/>
      <c r="W33" s="390"/>
      <c r="X33" s="390"/>
      <c r="Y33" s="390"/>
      <c r="Z33" s="390"/>
      <c r="AA33" s="390"/>
      <c r="AB33" s="390"/>
    </row>
    <row r="34" spans="2:28" x14ac:dyDescent="0.35">
      <c r="B34" s="113"/>
      <c r="C34" s="109" t="s">
        <v>386</v>
      </c>
      <c r="D34" s="110">
        <v>43031.340000000004</v>
      </c>
      <c r="E34" s="110">
        <v>6388.54</v>
      </c>
      <c r="F34" s="110"/>
      <c r="G34" s="110"/>
      <c r="H34" s="110">
        <v>2864.74</v>
      </c>
      <c r="I34" s="110">
        <v>2863.97</v>
      </c>
      <c r="J34" s="110">
        <v>55148.590000000004</v>
      </c>
      <c r="K34" s="110">
        <v>15334.18</v>
      </c>
      <c r="L34" s="110"/>
      <c r="M34" s="110" t="s">
        <v>387</v>
      </c>
      <c r="N34" s="113"/>
      <c r="O34" s="111">
        <v>32421</v>
      </c>
      <c r="P34" s="388"/>
      <c r="Q34" s="112">
        <v>1</v>
      </c>
      <c r="R34" s="113"/>
      <c r="S34" s="111"/>
      <c r="T34" s="389" t="s">
        <v>388</v>
      </c>
      <c r="U34" s="388" t="s">
        <v>389</v>
      </c>
      <c r="V34" s="114"/>
      <c r="W34" s="390"/>
      <c r="X34" s="390"/>
      <c r="Y34" s="390"/>
      <c r="Z34" s="390"/>
      <c r="AA34" s="390"/>
      <c r="AB34" s="390"/>
    </row>
    <row r="35" spans="2:28" x14ac:dyDescent="0.35">
      <c r="B35" s="113"/>
      <c r="C35" s="109" t="s">
        <v>386</v>
      </c>
      <c r="D35" s="110">
        <v>41696.299999999996</v>
      </c>
      <c r="E35" s="110">
        <v>6979.51</v>
      </c>
      <c r="F35" s="110"/>
      <c r="G35" s="110"/>
      <c r="H35" s="110">
        <v>2787.1</v>
      </c>
      <c r="I35" s="110">
        <v>2786.71</v>
      </c>
      <c r="J35" s="110">
        <v>54249.619999999995</v>
      </c>
      <c r="K35" s="110">
        <v>17182.82</v>
      </c>
      <c r="L35" s="110"/>
      <c r="M35" s="110" t="s">
        <v>387</v>
      </c>
      <c r="N35" s="113"/>
      <c r="O35" s="111">
        <v>36374</v>
      </c>
      <c r="P35" s="388"/>
      <c r="Q35" s="112">
        <v>1</v>
      </c>
      <c r="R35" s="113"/>
      <c r="S35" s="111"/>
      <c r="T35" s="389" t="s">
        <v>388</v>
      </c>
      <c r="U35" s="388" t="s">
        <v>389</v>
      </c>
      <c r="V35" s="114"/>
      <c r="W35" s="390"/>
      <c r="X35" s="390"/>
      <c r="Y35" s="390"/>
      <c r="Z35" s="390"/>
      <c r="AA35" s="390"/>
      <c r="AB35" s="390"/>
    </row>
    <row r="36" spans="2:28" x14ac:dyDescent="0.35">
      <c r="B36" s="113"/>
      <c r="C36" s="109" t="s">
        <v>386</v>
      </c>
      <c r="D36" s="110">
        <v>43655.49</v>
      </c>
      <c r="E36" s="110">
        <v>6352.6799999999994</v>
      </c>
      <c r="F36" s="110"/>
      <c r="G36" s="110"/>
      <c r="H36" s="110">
        <v>2904.11</v>
      </c>
      <c r="I36" s="110">
        <v>2903.15</v>
      </c>
      <c r="J36" s="110">
        <v>55815.43</v>
      </c>
      <c r="K36" s="110">
        <v>15514.11</v>
      </c>
      <c r="L36" s="110"/>
      <c r="M36" s="110" t="s">
        <v>387</v>
      </c>
      <c r="N36" s="113"/>
      <c r="O36" s="111">
        <v>31414</v>
      </c>
      <c r="P36" s="388"/>
      <c r="Q36" s="112">
        <v>1</v>
      </c>
      <c r="R36" s="113"/>
      <c r="S36" s="111"/>
      <c r="T36" s="389" t="s">
        <v>388</v>
      </c>
      <c r="U36" s="388" t="s">
        <v>389</v>
      </c>
      <c r="V36" s="114"/>
      <c r="W36" s="390"/>
      <c r="X36" s="390"/>
      <c r="Y36" s="390"/>
      <c r="Z36" s="390"/>
      <c r="AA36" s="390"/>
      <c r="AB36" s="390"/>
    </row>
    <row r="37" spans="2:28" x14ac:dyDescent="0.35">
      <c r="B37" s="113"/>
      <c r="C37" s="109" t="s">
        <v>386</v>
      </c>
      <c r="D37" s="110">
        <v>22692.84</v>
      </c>
      <c r="E37" s="110">
        <v>3098.71</v>
      </c>
      <c r="F37" s="110"/>
      <c r="G37" s="110"/>
      <c r="H37" s="110">
        <v>1651.64</v>
      </c>
      <c r="I37" s="110">
        <v>1651.62</v>
      </c>
      <c r="J37" s="110">
        <v>29094.809999999998</v>
      </c>
      <c r="K37" s="110">
        <v>5458.39</v>
      </c>
      <c r="L37" s="110"/>
      <c r="M37" s="110" t="s">
        <v>387</v>
      </c>
      <c r="N37" s="113"/>
      <c r="O37" s="111">
        <v>36251</v>
      </c>
      <c r="P37" s="388"/>
      <c r="Q37" s="112">
        <v>1</v>
      </c>
      <c r="R37" s="113"/>
      <c r="S37" s="111"/>
      <c r="T37" s="389" t="s">
        <v>398</v>
      </c>
      <c r="U37" s="388" t="s">
        <v>399</v>
      </c>
      <c r="V37" s="114"/>
      <c r="W37" s="390"/>
      <c r="X37" s="390"/>
      <c r="Y37" s="390"/>
      <c r="Z37" s="390"/>
      <c r="AA37" s="390"/>
      <c r="AB37" s="390"/>
    </row>
    <row r="38" spans="2:28" x14ac:dyDescent="0.35">
      <c r="B38" s="113"/>
      <c r="C38" s="109" t="s">
        <v>386</v>
      </c>
      <c r="D38" s="110">
        <v>41364.33</v>
      </c>
      <c r="E38" s="110">
        <v>6806.81</v>
      </c>
      <c r="F38" s="110"/>
      <c r="G38" s="110"/>
      <c r="H38" s="110">
        <v>2787.11</v>
      </c>
      <c r="I38" s="110">
        <v>2786.72</v>
      </c>
      <c r="J38" s="110">
        <v>53744.97</v>
      </c>
      <c r="K38" s="110">
        <v>14542.61</v>
      </c>
      <c r="L38" s="110"/>
      <c r="M38" s="110" t="s">
        <v>387</v>
      </c>
      <c r="N38" s="113"/>
      <c r="O38" s="111">
        <v>36251</v>
      </c>
      <c r="P38" s="388"/>
      <c r="Q38" s="112">
        <v>1</v>
      </c>
      <c r="R38" s="113"/>
      <c r="S38" s="111"/>
      <c r="T38" s="389" t="s">
        <v>388</v>
      </c>
      <c r="U38" s="388" t="s">
        <v>389</v>
      </c>
      <c r="V38" s="114"/>
      <c r="W38" s="390"/>
      <c r="X38" s="390"/>
      <c r="Y38" s="390"/>
      <c r="Z38" s="390"/>
      <c r="AA38" s="390"/>
      <c r="AB38" s="390"/>
    </row>
    <row r="39" spans="2:28" x14ac:dyDescent="0.35">
      <c r="B39" s="113"/>
      <c r="C39" s="109" t="s">
        <v>386</v>
      </c>
      <c r="D39" s="110">
        <v>41020.160000000003</v>
      </c>
      <c r="E39" s="110">
        <v>6499.7</v>
      </c>
      <c r="F39" s="110"/>
      <c r="G39" s="110"/>
      <c r="H39" s="110">
        <v>2811.75</v>
      </c>
      <c r="I39" s="110">
        <v>2811.24</v>
      </c>
      <c r="J39" s="110">
        <v>53142.85</v>
      </c>
      <c r="K39" s="110">
        <v>12022.4</v>
      </c>
      <c r="L39" s="110"/>
      <c r="M39" s="110" t="s">
        <v>387</v>
      </c>
      <c r="N39" s="113"/>
      <c r="O39" s="111">
        <v>34904</v>
      </c>
      <c r="P39" s="388"/>
      <c r="Q39" s="112">
        <v>1</v>
      </c>
      <c r="R39" s="113"/>
      <c r="S39" s="111"/>
      <c r="T39" s="389" t="s">
        <v>388</v>
      </c>
      <c r="U39" s="388" t="s">
        <v>389</v>
      </c>
      <c r="V39" s="114"/>
      <c r="W39" s="390"/>
      <c r="X39" s="390"/>
      <c r="Y39" s="390"/>
      <c r="Z39" s="390"/>
      <c r="AA39" s="390"/>
      <c r="AB39" s="390"/>
    </row>
    <row r="40" spans="2:28" x14ac:dyDescent="0.35">
      <c r="B40" s="113"/>
      <c r="C40" s="109" t="s">
        <v>386</v>
      </c>
      <c r="D40" s="110">
        <v>24410.9</v>
      </c>
      <c r="E40" s="110">
        <v>1646.74</v>
      </c>
      <c r="F40" s="110"/>
      <c r="G40" s="110"/>
      <c r="H40" s="110">
        <v>1861.53</v>
      </c>
      <c r="I40" s="110">
        <v>1865.76</v>
      </c>
      <c r="J40" s="110">
        <v>29784.93</v>
      </c>
      <c r="K40" s="110">
        <v>8870.74</v>
      </c>
      <c r="L40" s="110"/>
      <c r="M40" s="110" t="s">
        <v>387</v>
      </c>
      <c r="N40" s="113"/>
      <c r="O40" s="111">
        <v>37849</v>
      </c>
      <c r="P40" s="388"/>
      <c r="Q40" s="112">
        <v>1</v>
      </c>
      <c r="R40" s="113"/>
      <c r="S40" s="111"/>
      <c r="T40" s="389" t="s">
        <v>400</v>
      </c>
      <c r="U40" s="388" t="s">
        <v>401</v>
      </c>
      <c r="V40" s="114"/>
      <c r="W40" s="390"/>
      <c r="X40" s="390"/>
      <c r="Y40" s="390"/>
      <c r="Z40" s="390"/>
      <c r="AA40" s="390"/>
      <c r="AB40" s="390"/>
    </row>
    <row r="41" spans="2:28" x14ac:dyDescent="0.35">
      <c r="B41" s="113"/>
      <c r="C41" s="109" t="s">
        <v>386</v>
      </c>
      <c r="D41" s="110">
        <v>27932.080000000002</v>
      </c>
      <c r="E41" s="110">
        <v>3177.37</v>
      </c>
      <c r="F41" s="110"/>
      <c r="G41" s="110"/>
      <c r="H41" s="110">
        <v>2008.04</v>
      </c>
      <c r="I41" s="110">
        <v>2011.21</v>
      </c>
      <c r="J41" s="110">
        <v>35128.699999999997</v>
      </c>
      <c r="K41" s="110">
        <v>13666.09</v>
      </c>
      <c r="L41" s="110"/>
      <c r="M41" s="110" t="s">
        <v>387</v>
      </c>
      <c r="N41" s="113"/>
      <c r="O41" s="111">
        <v>40345</v>
      </c>
      <c r="P41" s="117"/>
      <c r="Q41" s="116">
        <v>0.75</v>
      </c>
      <c r="R41" s="117"/>
      <c r="S41" s="118"/>
      <c r="T41" s="117" t="s">
        <v>388</v>
      </c>
      <c r="U41" s="113" t="s">
        <v>389</v>
      </c>
      <c r="V41" s="114"/>
      <c r="W41" s="390"/>
      <c r="X41" s="390"/>
      <c r="Y41" s="390"/>
      <c r="Z41" s="390"/>
      <c r="AA41" s="390"/>
      <c r="AB41" s="390"/>
    </row>
    <row r="42" spans="2:28" x14ac:dyDescent="0.35">
      <c r="B42" s="120"/>
      <c r="C42" s="109" t="s">
        <v>386</v>
      </c>
      <c r="D42" s="119">
        <v>22303.01</v>
      </c>
      <c r="E42" s="119">
        <v>1315.9</v>
      </c>
      <c r="F42" s="119"/>
      <c r="G42" s="119"/>
      <c r="H42" s="119">
        <v>1626.19</v>
      </c>
      <c r="I42" s="119">
        <v>1630.42</v>
      </c>
      <c r="J42" s="119">
        <v>26875.519999999997</v>
      </c>
      <c r="K42" s="119">
        <v>-687.91</v>
      </c>
      <c r="L42" s="119"/>
      <c r="M42" s="119" t="s">
        <v>387</v>
      </c>
      <c r="N42" s="120"/>
      <c r="O42" s="121">
        <v>39692</v>
      </c>
      <c r="P42" s="123"/>
      <c r="Q42" s="122">
        <v>1</v>
      </c>
      <c r="R42" s="123"/>
      <c r="S42" s="124"/>
      <c r="T42" s="123" t="s">
        <v>398</v>
      </c>
      <c r="U42" s="120" t="s">
        <v>399</v>
      </c>
      <c r="V42" s="125"/>
      <c r="W42" s="392"/>
      <c r="X42" s="392"/>
      <c r="Y42" s="392"/>
      <c r="Z42" s="392"/>
      <c r="AA42" s="392"/>
      <c r="AB42" s="390"/>
    </row>
    <row r="43" spans="2:28" x14ac:dyDescent="0.35">
      <c r="B43" s="120"/>
      <c r="C43" s="109" t="s">
        <v>386</v>
      </c>
      <c r="D43" s="119">
        <v>25934.73</v>
      </c>
      <c r="E43" s="119">
        <v>3511.48</v>
      </c>
      <c r="F43" s="119"/>
      <c r="G43" s="119"/>
      <c r="H43" s="119">
        <v>1816.16</v>
      </c>
      <c r="I43" s="119">
        <v>1816.14</v>
      </c>
      <c r="J43" s="119">
        <v>33078.51</v>
      </c>
      <c r="K43" s="119">
        <v>8957.94</v>
      </c>
      <c r="L43" s="119"/>
      <c r="M43" s="119" t="s">
        <v>387</v>
      </c>
      <c r="N43" s="120"/>
      <c r="O43" s="121">
        <v>36710</v>
      </c>
      <c r="P43" s="123"/>
      <c r="Q43" s="122">
        <v>0.66700000000000004</v>
      </c>
      <c r="R43" s="123"/>
      <c r="S43" s="124"/>
      <c r="T43" s="123" t="s">
        <v>388</v>
      </c>
      <c r="U43" s="120" t="s">
        <v>389</v>
      </c>
      <c r="V43" s="125"/>
      <c r="W43" s="392"/>
      <c r="X43" s="392"/>
      <c r="Y43" s="392"/>
      <c r="Z43" s="392"/>
      <c r="AA43" s="392"/>
      <c r="AB43" s="390"/>
    </row>
    <row r="44" spans="2:28" x14ac:dyDescent="0.35">
      <c r="B44" s="120"/>
      <c r="C44" s="109" t="s">
        <v>386</v>
      </c>
      <c r="D44" s="119">
        <v>39844.83</v>
      </c>
      <c r="E44" s="119">
        <v>7110.58</v>
      </c>
      <c r="F44" s="119"/>
      <c r="G44" s="119"/>
      <c r="H44" s="119">
        <v>2755.1</v>
      </c>
      <c r="I44" s="119">
        <v>2754.87</v>
      </c>
      <c r="J44" s="119">
        <v>52465.380000000005</v>
      </c>
      <c r="K44" s="119">
        <v>14619.96</v>
      </c>
      <c r="L44" s="119"/>
      <c r="M44" s="119" t="s">
        <v>387</v>
      </c>
      <c r="N44" s="120"/>
      <c r="O44" s="121">
        <v>37073</v>
      </c>
      <c r="P44" s="123"/>
      <c r="Q44" s="122">
        <v>1</v>
      </c>
      <c r="R44" s="123"/>
      <c r="S44" s="124"/>
      <c r="T44" s="123" t="s">
        <v>388</v>
      </c>
      <c r="U44" s="120" t="s">
        <v>389</v>
      </c>
      <c r="V44" s="125"/>
      <c r="W44" s="392"/>
      <c r="X44" s="392"/>
      <c r="Y44" s="392"/>
      <c r="Z44" s="392"/>
      <c r="AA44" s="392"/>
      <c r="AB44" s="390"/>
    </row>
    <row r="45" spans="2:28" x14ac:dyDescent="0.35">
      <c r="B45" s="120"/>
      <c r="C45" s="109" t="s">
        <v>386</v>
      </c>
      <c r="D45" s="119">
        <v>4567.9400000000005</v>
      </c>
      <c r="E45" s="119">
        <v>525.79</v>
      </c>
      <c r="F45" s="119"/>
      <c r="G45" s="119"/>
      <c r="H45" s="119">
        <v>0</v>
      </c>
      <c r="I45" s="119">
        <v>694.73</v>
      </c>
      <c r="J45" s="119">
        <v>5788.4600000000009</v>
      </c>
      <c r="K45" s="119">
        <v>1805.84</v>
      </c>
      <c r="L45" s="119"/>
      <c r="M45" s="119" t="s">
        <v>391</v>
      </c>
      <c r="N45" s="120"/>
      <c r="O45" s="121">
        <v>39995</v>
      </c>
      <c r="P45" s="123"/>
      <c r="Q45" s="122">
        <v>0.25205479452054796</v>
      </c>
      <c r="R45" s="123"/>
      <c r="S45" s="124"/>
      <c r="T45" s="123" t="s">
        <v>394</v>
      </c>
      <c r="U45" s="120" t="s">
        <v>395</v>
      </c>
      <c r="V45" s="125"/>
      <c r="W45" s="392"/>
      <c r="X45" s="392"/>
      <c r="Y45" s="392"/>
      <c r="Z45" s="392"/>
      <c r="AA45" s="392"/>
      <c r="AB45" s="390"/>
    </row>
    <row r="46" spans="2:28" x14ac:dyDescent="0.35">
      <c r="B46" s="120"/>
      <c r="C46" s="109" t="s">
        <v>386</v>
      </c>
      <c r="D46" s="119">
        <v>18466.670000000002</v>
      </c>
      <c r="E46" s="119">
        <v>2306.85</v>
      </c>
      <c r="F46" s="119"/>
      <c r="G46" s="119"/>
      <c r="H46" s="119">
        <v>1368.27</v>
      </c>
      <c r="I46" s="119">
        <v>1368.27</v>
      </c>
      <c r="J46" s="119">
        <v>23510.06</v>
      </c>
      <c r="K46" s="119">
        <v>7187.65</v>
      </c>
      <c r="L46" s="119"/>
      <c r="M46" s="119" t="s">
        <v>387</v>
      </c>
      <c r="N46" s="120"/>
      <c r="O46" s="121">
        <v>42477</v>
      </c>
      <c r="P46" s="123"/>
      <c r="Q46" s="122">
        <v>1</v>
      </c>
      <c r="R46" s="123"/>
      <c r="S46" s="124"/>
      <c r="T46" s="123" t="s">
        <v>394</v>
      </c>
      <c r="U46" s="120" t="s">
        <v>395</v>
      </c>
      <c r="V46" s="125"/>
      <c r="W46" s="392"/>
      <c r="X46" s="392"/>
      <c r="Y46" s="392"/>
      <c r="Z46" s="392"/>
      <c r="AA46" s="392"/>
      <c r="AB46" s="390"/>
    </row>
    <row r="47" spans="2:28" x14ac:dyDescent="0.35">
      <c r="B47" s="120"/>
      <c r="C47" s="109" t="s">
        <v>386</v>
      </c>
      <c r="D47" s="119">
        <v>8155.7</v>
      </c>
      <c r="E47" s="119">
        <v>441.63</v>
      </c>
      <c r="F47" s="119"/>
      <c r="G47" s="119"/>
      <c r="H47" s="119">
        <v>0</v>
      </c>
      <c r="I47" s="119">
        <v>1291.93</v>
      </c>
      <c r="J47" s="119">
        <v>9889.26</v>
      </c>
      <c r="K47" s="119">
        <v>3294.4</v>
      </c>
      <c r="L47" s="119"/>
      <c r="M47" s="119" t="s">
        <v>397</v>
      </c>
      <c r="N47" s="120"/>
      <c r="O47" s="121">
        <v>45105</v>
      </c>
      <c r="P47" s="123"/>
      <c r="Q47" s="122">
        <v>0.51232876712328768</v>
      </c>
      <c r="R47" s="123"/>
      <c r="S47" s="124">
        <v>45420</v>
      </c>
      <c r="T47" s="123" t="s">
        <v>394</v>
      </c>
      <c r="U47" s="120" t="s">
        <v>395</v>
      </c>
      <c r="V47" s="125"/>
      <c r="W47" s="392"/>
      <c r="X47" s="392"/>
      <c r="Y47" s="392"/>
      <c r="Z47" s="392"/>
      <c r="AA47" s="392"/>
      <c r="AB47" s="390"/>
    </row>
    <row r="48" spans="2:28" x14ac:dyDescent="0.35">
      <c r="B48" s="113"/>
      <c r="C48" s="109" t="s">
        <v>386</v>
      </c>
      <c r="D48" s="110">
        <v>18766.18</v>
      </c>
      <c r="E48" s="110">
        <v>590.06999999999994</v>
      </c>
      <c r="F48" s="110"/>
      <c r="G48" s="110"/>
      <c r="H48" s="110">
        <v>1429.23</v>
      </c>
      <c r="I48" s="110">
        <v>1196.17</v>
      </c>
      <c r="J48" s="110">
        <v>21981.65</v>
      </c>
      <c r="K48" s="110">
        <v>-3613.5</v>
      </c>
      <c r="L48" s="110"/>
      <c r="M48" s="110" t="s">
        <v>387</v>
      </c>
      <c r="N48" s="113"/>
      <c r="O48" s="111">
        <v>32274</v>
      </c>
      <c r="P48" s="117"/>
      <c r="Q48" s="116">
        <v>1</v>
      </c>
      <c r="R48" s="117"/>
      <c r="S48" s="118">
        <v>45417</v>
      </c>
      <c r="T48" s="117" t="s">
        <v>394</v>
      </c>
      <c r="U48" s="113" t="s">
        <v>395</v>
      </c>
      <c r="V48" s="114"/>
      <c r="W48" s="390"/>
      <c r="X48" s="390"/>
      <c r="Y48" s="390"/>
      <c r="Z48" s="390"/>
      <c r="AA48" s="390"/>
      <c r="AB48" s="390"/>
    </row>
    <row r="49" spans="2:30" x14ac:dyDescent="0.35">
      <c r="Z49" s="126"/>
      <c r="AA49" s="126"/>
      <c r="AB49" s="126"/>
      <c r="AC49" s="126"/>
      <c r="AD49" s="126"/>
    </row>
    <row r="50" spans="2:30" ht="19" thickBot="1" x14ac:dyDescent="0.5">
      <c r="B50" s="18" t="s">
        <v>17</v>
      </c>
      <c r="C50" s="1"/>
    </row>
    <row r="51" spans="2:30" ht="33.75" customHeight="1" thickBot="1" x14ac:dyDescent="0.4">
      <c r="B51" s="2" t="s">
        <v>344</v>
      </c>
      <c r="C51" s="2" t="s">
        <v>2</v>
      </c>
      <c r="D51" s="2" t="s">
        <v>381</v>
      </c>
      <c r="E51" s="2" t="s">
        <v>382</v>
      </c>
      <c r="F51" s="2" t="s">
        <v>383</v>
      </c>
      <c r="G51" s="2" t="s">
        <v>14</v>
      </c>
      <c r="H51" s="2" t="s">
        <v>18</v>
      </c>
      <c r="I51" s="2" t="s">
        <v>15</v>
      </c>
      <c r="J51" s="2" t="s">
        <v>10</v>
      </c>
      <c r="K51" s="2" t="s">
        <v>23</v>
      </c>
      <c r="L51" s="2" t="s">
        <v>16</v>
      </c>
      <c r="M51" s="2" t="s">
        <v>3</v>
      </c>
      <c r="N51" s="2" t="s">
        <v>11</v>
      </c>
      <c r="O51" s="2" t="s">
        <v>4</v>
      </c>
      <c r="P51" s="2" t="s">
        <v>5</v>
      </c>
      <c r="Q51" s="2" t="s">
        <v>24</v>
      </c>
      <c r="R51" s="2" t="s">
        <v>25</v>
      </c>
      <c r="S51" s="2" t="s">
        <v>26</v>
      </c>
      <c r="T51" s="105" t="s">
        <v>27</v>
      </c>
      <c r="U51" s="2" t="s">
        <v>6</v>
      </c>
      <c r="V51" s="2" t="s">
        <v>7</v>
      </c>
      <c r="W51" s="2" t="s">
        <v>28</v>
      </c>
      <c r="X51" s="2" t="s">
        <v>29</v>
      </c>
      <c r="Y51" s="2" t="s">
        <v>384</v>
      </c>
      <c r="Z51" s="2" t="s">
        <v>385</v>
      </c>
      <c r="AA51" s="3" t="s">
        <v>8</v>
      </c>
      <c r="AB51" s="3" t="s">
        <v>9</v>
      </c>
    </row>
    <row r="52" spans="2:30" x14ac:dyDescent="0.35">
      <c r="B52" s="4"/>
      <c r="C52" s="35"/>
      <c r="D52" s="5"/>
      <c r="E52" s="5"/>
      <c r="F52" s="5"/>
      <c r="G52" s="5"/>
      <c r="H52" s="5"/>
      <c r="I52" s="5"/>
      <c r="J52" s="5"/>
      <c r="K52" s="5"/>
      <c r="L52" s="4"/>
      <c r="M52" s="4"/>
      <c r="N52" s="4"/>
      <c r="O52" s="6"/>
      <c r="P52" s="7"/>
      <c r="Q52" s="8"/>
      <c r="R52" s="8"/>
      <c r="S52" s="8"/>
      <c r="T52" s="9"/>
      <c r="U52" s="9"/>
      <c r="V52" s="10"/>
      <c r="W52" s="36"/>
      <c r="X52" s="36" t="s">
        <v>0</v>
      </c>
      <c r="Y52" s="36"/>
      <c r="Z52" s="36"/>
      <c r="AA52" s="36"/>
      <c r="AB52" s="36"/>
    </row>
    <row r="53" spans="2:30" x14ac:dyDescent="0.35">
      <c r="B53" s="4"/>
      <c r="C53" s="31"/>
      <c r="D53" s="5"/>
      <c r="E53" s="5"/>
      <c r="F53" s="5"/>
      <c r="G53" s="5"/>
      <c r="H53" s="5"/>
      <c r="I53" s="5"/>
      <c r="J53" s="5"/>
      <c r="K53" s="5"/>
      <c r="L53" s="4"/>
      <c r="M53" s="4"/>
      <c r="N53" s="4"/>
      <c r="O53" s="6"/>
      <c r="P53" s="7"/>
      <c r="Q53" s="8"/>
      <c r="R53" s="8"/>
      <c r="S53" s="8"/>
      <c r="T53" s="9"/>
      <c r="U53" s="9"/>
      <c r="V53" s="10"/>
      <c r="W53" s="36"/>
      <c r="X53" s="36"/>
      <c r="Y53" s="36"/>
      <c r="Z53" s="36"/>
      <c r="AA53" s="36"/>
      <c r="AB53" s="36"/>
    </row>
    <row r="54" spans="2:30" x14ac:dyDescent="0.35">
      <c r="B54" s="4"/>
      <c r="C54" s="31"/>
      <c r="D54" s="5"/>
      <c r="E54" s="5"/>
      <c r="F54" s="5"/>
      <c r="G54" s="5"/>
      <c r="H54" s="5"/>
      <c r="I54" s="5"/>
      <c r="J54" s="5"/>
      <c r="K54" s="5"/>
      <c r="L54" s="4"/>
      <c r="M54" s="4"/>
      <c r="N54" s="4"/>
      <c r="O54" s="6"/>
      <c r="P54" s="7"/>
      <c r="Q54" s="8"/>
      <c r="R54" s="8"/>
      <c r="S54" s="8"/>
      <c r="T54" s="9"/>
      <c r="U54" s="9"/>
      <c r="V54" s="10"/>
      <c r="W54" s="36"/>
      <c r="X54" s="36"/>
      <c r="Y54" s="36"/>
      <c r="Z54" s="36"/>
      <c r="AA54" s="36"/>
      <c r="AB54" s="36"/>
    </row>
    <row r="55" spans="2:30" x14ac:dyDescent="0.35">
      <c r="B55" s="11"/>
      <c r="C55" s="31"/>
      <c r="D55" s="12"/>
      <c r="E55" s="12"/>
      <c r="F55" s="12"/>
      <c r="G55" s="12"/>
      <c r="H55" s="12"/>
      <c r="I55" s="12"/>
      <c r="J55" s="12"/>
      <c r="K55" s="12"/>
      <c r="L55" s="11"/>
      <c r="M55" s="11"/>
      <c r="N55" s="11"/>
      <c r="O55" s="37"/>
      <c r="P55" s="13"/>
      <c r="Q55" s="14"/>
      <c r="R55" s="14"/>
      <c r="S55" s="14"/>
      <c r="T55" s="38"/>
      <c r="U55" s="38"/>
      <c r="V55" s="15"/>
      <c r="W55" s="39"/>
      <c r="X55" s="39"/>
      <c r="Y55" s="39"/>
      <c r="Z55" s="39"/>
      <c r="AA55" s="39"/>
      <c r="AB55" s="39"/>
    </row>
    <row r="56" spans="2:30" x14ac:dyDescent="0.35">
      <c r="B56" s="11"/>
      <c r="C56" s="31"/>
      <c r="D56" s="12"/>
      <c r="E56" s="12"/>
      <c r="F56" s="12"/>
      <c r="G56" s="12"/>
      <c r="H56" s="12"/>
      <c r="I56" s="12"/>
      <c r="J56" s="12"/>
      <c r="K56" s="12"/>
      <c r="L56" s="11"/>
      <c r="M56" s="11"/>
      <c r="N56" s="11"/>
      <c r="O56" s="37"/>
      <c r="P56" s="13"/>
      <c r="Q56" s="14"/>
      <c r="R56" s="14"/>
      <c r="S56" s="14"/>
      <c r="T56" s="38"/>
      <c r="U56" s="38"/>
      <c r="V56" s="16"/>
      <c r="W56" s="39"/>
      <c r="X56" s="39"/>
      <c r="Y56" s="39"/>
      <c r="Z56" s="39"/>
      <c r="AA56" s="39"/>
      <c r="AB56" s="39"/>
    </row>
    <row r="57" spans="2:30" x14ac:dyDescent="0.35">
      <c r="B57" s="11"/>
      <c r="C57" s="31"/>
      <c r="D57" s="12"/>
      <c r="E57" s="12"/>
      <c r="F57" s="12"/>
      <c r="G57" s="12"/>
      <c r="H57" s="12"/>
      <c r="I57" s="12"/>
      <c r="J57" s="12"/>
      <c r="K57" s="12"/>
      <c r="L57" s="11"/>
      <c r="M57" s="11"/>
      <c r="N57" s="11"/>
      <c r="O57" s="37"/>
      <c r="P57" s="13"/>
      <c r="Q57" s="14"/>
      <c r="R57" s="14"/>
      <c r="S57" s="14"/>
      <c r="T57" s="38"/>
      <c r="U57" s="38"/>
      <c r="V57" s="16"/>
      <c r="W57" s="39"/>
      <c r="X57" s="39"/>
      <c r="Y57" s="39"/>
      <c r="Z57" s="39"/>
      <c r="AA57" s="39"/>
      <c r="AB57" s="39"/>
    </row>
    <row r="58" spans="2:30" x14ac:dyDescent="0.35">
      <c r="B58" s="127"/>
      <c r="C58" s="127"/>
      <c r="D58" s="128"/>
      <c r="E58" s="129"/>
      <c r="F58" s="129"/>
      <c r="G58" s="129"/>
      <c r="H58" s="129"/>
      <c r="I58" s="129"/>
      <c r="J58" s="129"/>
      <c r="K58" s="129"/>
      <c r="L58" s="129"/>
      <c r="M58" s="127"/>
      <c r="N58" s="127"/>
      <c r="O58" s="127"/>
      <c r="P58" s="130"/>
      <c r="Q58" s="131"/>
      <c r="R58" s="132"/>
      <c r="S58" s="132"/>
      <c r="T58" s="132"/>
      <c r="U58" s="133"/>
      <c r="V58" s="133"/>
      <c r="W58" s="134"/>
      <c r="X58" s="126"/>
      <c r="Y58" s="126"/>
      <c r="Z58" s="126"/>
      <c r="AA58" s="126"/>
      <c r="AB58" s="126"/>
      <c r="AC58" s="126"/>
    </row>
    <row r="59" spans="2:30" x14ac:dyDescent="0.35">
      <c r="B59" s="127"/>
      <c r="C59" s="127"/>
      <c r="D59" s="128"/>
      <c r="E59" s="129"/>
      <c r="F59" s="129"/>
      <c r="G59" s="129"/>
      <c r="H59" s="129"/>
      <c r="I59" s="129"/>
      <c r="J59" s="129"/>
      <c r="K59" s="129"/>
      <c r="L59" s="129"/>
      <c r="M59" s="127"/>
      <c r="N59" s="127"/>
      <c r="O59" s="127"/>
      <c r="P59" s="130"/>
      <c r="Q59" s="131"/>
      <c r="R59" s="132"/>
      <c r="S59" s="132"/>
      <c r="T59" s="132"/>
      <c r="U59" s="133"/>
      <c r="V59" s="133"/>
      <c r="W59" s="134"/>
      <c r="X59" s="126"/>
      <c r="Y59" s="126"/>
      <c r="Z59" s="126"/>
      <c r="AA59" s="126"/>
      <c r="AB59" s="126"/>
      <c r="AC59" s="126"/>
    </row>
    <row r="60" spans="2:30" x14ac:dyDescent="0.35">
      <c r="B60" s="135"/>
      <c r="C60" s="135"/>
      <c r="F60" s="135"/>
      <c r="G60" s="135"/>
      <c r="H60" s="135"/>
      <c r="I60" s="135"/>
      <c r="J60" s="135"/>
      <c r="K60" s="135"/>
      <c r="L60" s="135"/>
      <c r="M60" s="135"/>
      <c r="N60" s="135"/>
      <c r="O60" s="135"/>
      <c r="P60" s="135"/>
      <c r="Q60" s="135"/>
    </row>
  </sheetData>
  <mergeCells count="1">
    <mergeCell ref="C6:D6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61"/>
  <sheetViews>
    <sheetView zoomScaleNormal="100" workbookViewId="0">
      <pane xSplit="2" ySplit="9" topLeftCell="M47" activePane="bottomRight" state="frozen"/>
      <selection activeCell="L5" sqref="L5"/>
      <selection pane="topRight" activeCell="L5" sqref="L5"/>
      <selection pane="bottomLeft" activeCell="L5" sqref="L5"/>
      <selection pane="bottomRight" activeCell="B2" sqref="B2:AB58"/>
    </sheetView>
  </sheetViews>
  <sheetFormatPr defaultColWidth="11.453125" defaultRowHeight="14.5" x14ac:dyDescent="0.35"/>
  <cols>
    <col min="1" max="1" width="5.54296875" customWidth="1"/>
    <col min="2" max="2" width="39.54296875" customWidth="1"/>
    <col min="3" max="3" width="17.26953125" customWidth="1"/>
    <col min="4" max="30" width="12.1796875" customWidth="1"/>
  </cols>
  <sheetData>
    <row r="2" spans="2:28" ht="18.5" x14ac:dyDescent="0.45">
      <c r="B2" s="18" t="s">
        <v>13</v>
      </c>
      <c r="C2" s="1"/>
    </row>
    <row r="3" spans="2:28" x14ac:dyDescent="0.35">
      <c r="B3" s="23"/>
      <c r="C3" s="23"/>
      <c r="F3" s="23"/>
      <c r="G3" s="208"/>
      <c r="Q3" s="23"/>
      <c r="R3" s="23"/>
      <c r="S3" s="23"/>
    </row>
    <row r="4" spans="2:28" ht="15.5" x14ac:dyDescent="0.35">
      <c r="B4" s="62" t="s">
        <v>12</v>
      </c>
      <c r="C4" s="144" t="s">
        <v>481</v>
      </c>
      <c r="D4" s="145"/>
      <c r="E4" s="146"/>
      <c r="G4" s="208"/>
      <c r="Q4" s="23"/>
      <c r="R4" s="23"/>
      <c r="S4" s="23"/>
    </row>
    <row r="5" spans="2:28" ht="15.5" x14ac:dyDescent="0.35">
      <c r="B5" s="62" t="s">
        <v>20</v>
      </c>
      <c r="C5" s="144" t="s">
        <v>568</v>
      </c>
      <c r="D5" s="145"/>
      <c r="E5" s="147"/>
      <c r="Q5" s="23"/>
      <c r="R5" s="23"/>
      <c r="S5" s="23"/>
    </row>
    <row r="6" spans="2:28" ht="15.5" x14ac:dyDescent="0.35">
      <c r="B6" s="64" t="s">
        <v>19</v>
      </c>
      <c r="C6" s="144" t="s">
        <v>569</v>
      </c>
      <c r="D6" s="145"/>
      <c r="E6" s="147"/>
      <c r="Q6" s="23"/>
      <c r="R6" s="23"/>
      <c r="S6" s="23"/>
    </row>
    <row r="7" spans="2:28" ht="15.5" x14ac:dyDescent="0.35">
      <c r="B7" s="62" t="s">
        <v>32</v>
      </c>
      <c r="C7" s="148" t="s">
        <v>484</v>
      </c>
      <c r="D7" s="103"/>
      <c r="E7" s="149"/>
    </row>
    <row r="8" spans="2:28" ht="16" thickBot="1" x14ac:dyDescent="0.4">
      <c r="B8" s="70"/>
      <c r="C8" s="103"/>
      <c r="D8" s="103"/>
    </row>
    <row r="9" spans="2:28" ht="52.5" x14ac:dyDescent="0.35">
      <c r="B9" s="19" t="s">
        <v>344</v>
      </c>
      <c r="C9" s="19" t="s">
        <v>2</v>
      </c>
      <c r="D9" s="19" t="s">
        <v>21</v>
      </c>
      <c r="E9" s="19" t="s">
        <v>1</v>
      </c>
      <c r="F9" s="19" t="s">
        <v>22</v>
      </c>
      <c r="G9" s="19" t="s">
        <v>14</v>
      </c>
      <c r="H9" s="19" t="s">
        <v>18</v>
      </c>
      <c r="I9" s="19" t="s">
        <v>15</v>
      </c>
      <c r="J9" s="19" t="s">
        <v>10</v>
      </c>
      <c r="K9" s="19" t="s">
        <v>23</v>
      </c>
      <c r="L9" s="19" t="s">
        <v>16</v>
      </c>
      <c r="M9" s="19" t="s">
        <v>3</v>
      </c>
      <c r="N9" s="19" t="s">
        <v>11</v>
      </c>
      <c r="O9" s="19" t="s">
        <v>4</v>
      </c>
      <c r="P9" s="19" t="s">
        <v>5</v>
      </c>
      <c r="Q9" s="19" t="s">
        <v>24</v>
      </c>
      <c r="R9" s="19" t="s">
        <v>25</v>
      </c>
      <c r="S9" s="19" t="s">
        <v>26</v>
      </c>
      <c r="T9" s="19" t="s">
        <v>27</v>
      </c>
      <c r="U9" s="19" t="s">
        <v>6</v>
      </c>
      <c r="V9" s="19" t="s">
        <v>7</v>
      </c>
      <c r="W9" s="19" t="s">
        <v>28</v>
      </c>
      <c r="X9" s="19" t="s">
        <v>29</v>
      </c>
      <c r="Y9" s="19" t="s">
        <v>30</v>
      </c>
      <c r="Z9" s="19" t="s">
        <v>31</v>
      </c>
      <c r="AA9" s="57" t="s">
        <v>8</v>
      </c>
      <c r="AB9" s="57" t="s">
        <v>9</v>
      </c>
    </row>
    <row r="10" spans="2:28" ht="36" x14ac:dyDescent="0.35">
      <c r="B10" s="275"/>
      <c r="C10" s="203" t="s">
        <v>485</v>
      </c>
      <c r="D10" s="365">
        <v>33599.440000000002</v>
      </c>
      <c r="E10" s="365">
        <v>4333.29</v>
      </c>
      <c r="F10" s="365">
        <v>20358.519999999997</v>
      </c>
      <c r="G10" s="365"/>
      <c r="H10" s="365">
        <v>3854.14</v>
      </c>
      <c r="I10" s="365">
        <v>3854.14</v>
      </c>
      <c r="J10" s="365">
        <v>58291.25</v>
      </c>
      <c r="K10" s="365">
        <v>17266.547200000001</v>
      </c>
      <c r="L10" s="363">
        <v>1900</v>
      </c>
      <c r="M10" s="275" t="s">
        <v>387</v>
      </c>
      <c r="N10" s="275" t="s">
        <v>365</v>
      </c>
      <c r="O10" s="366">
        <v>35796</v>
      </c>
      <c r="P10" s="164"/>
      <c r="Q10" s="275">
        <v>1734</v>
      </c>
      <c r="R10" s="275">
        <v>100</v>
      </c>
      <c r="S10" s="164"/>
      <c r="T10" s="74" t="s">
        <v>491</v>
      </c>
      <c r="U10" s="74">
        <v>1</v>
      </c>
      <c r="V10" s="293"/>
      <c r="W10" s="281"/>
      <c r="X10" s="281" t="s">
        <v>0</v>
      </c>
      <c r="Y10" s="281"/>
      <c r="Z10" s="281"/>
      <c r="AA10" s="281"/>
      <c r="AB10" s="281"/>
    </row>
    <row r="11" spans="2:28" ht="36" x14ac:dyDescent="0.35">
      <c r="B11" s="80"/>
      <c r="C11" s="203" t="s">
        <v>485</v>
      </c>
      <c r="D11" s="340">
        <v>14158.619999999999</v>
      </c>
      <c r="E11" s="340">
        <v>330.22</v>
      </c>
      <c r="F11" s="340">
        <v>3013.9200000000019</v>
      </c>
      <c r="G11" s="340"/>
      <c r="H11" s="340">
        <v>1202.9099999999999</v>
      </c>
      <c r="I11" s="340">
        <v>1202.9099999999999</v>
      </c>
      <c r="J11" s="340">
        <v>17502.760000000002</v>
      </c>
      <c r="K11" s="340">
        <v>5495.2128000000002</v>
      </c>
      <c r="L11" s="364">
        <v>0</v>
      </c>
      <c r="M11" s="80" t="s">
        <v>391</v>
      </c>
      <c r="N11" s="80" t="s">
        <v>365</v>
      </c>
      <c r="O11" s="164">
        <v>31686</v>
      </c>
      <c r="P11" s="164"/>
      <c r="Q11" s="80">
        <v>1734</v>
      </c>
      <c r="R11" s="80">
        <v>45.47</v>
      </c>
      <c r="S11" s="164"/>
      <c r="T11" s="258" t="s">
        <v>486</v>
      </c>
      <c r="U11" s="258">
        <v>2</v>
      </c>
      <c r="V11" s="203"/>
      <c r="W11" s="261"/>
      <c r="X11" s="261"/>
      <c r="Y11" s="261"/>
      <c r="Z11" s="261"/>
      <c r="AA11" s="261"/>
      <c r="AB11" s="261"/>
    </row>
    <row r="12" spans="2:28" ht="36" x14ac:dyDescent="0.35">
      <c r="B12" s="80"/>
      <c r="C12" s="203" t="s">
        <v>485</v>
      </c>
      <c r="D12" s="340">
        <v>30069.1</v>
      </c>
      <c r="E12" s="340">
        <v>2719.68</v>
      </c>
      <c r="F12" s="340">
        <v>6628.4399999999951</v>
      </c>
      <c r="G12" s="340"/>
      <c r="H12" s="340">
        <v>2587.4299999999998</v>
      </c>
      <c r="I12" s="340">
        <v>2587.4299999999998</v>
      </c>
      <c r="J12" s="340">
        <v>39417.219999999994</v>
      </c>
      <c r="K12" s="340">
        <v>11743.212799999998</v>
      </c>
      <c r="L12" s="364">
        <v>0</v>
      </c>
      <c r="M12" s="80" t="s">
        <v>387</v>
      </c>
      <c r="N12" s="80" t="s">
        <v>365</v>
      </c>
      <c r="O12" s="164">
        <v>38516</v>
      </c>
      <c r="P12" s="164"/>
      <c r="Q12" s="80">
        <v>1734</v>
      </c>
      <c r="R12" s="80">
        <v>100</v>
      </c>
      <c r="S12" s="164"/>
      <c r="T12" s="258" t="s">
        <v>486</v>
      </c>
      <c r="U12" s="258">
        <v>2</v>
      </c>
      <c r="V12" s="203"/>
      <c r="W12" s="261"/>
      <c r="X12" s="261"/>
      <c r="Y12" s="261"/>
      <c r="Z12" s="261"/>
      <c r="AA12" s="261"/>
      <c r="AB12" s="261"/>
    </row>
    <row r="13" spans="2:28" ht="36" x14ac:dyDescent="0.35">
      <c r="B13" s="80"/>
      <c r="C13" s="203" t="s">
        <v>485</v>
      </c>
      <c r="D13" s="340">
        <v>30290.719999999998</v>
      </c>
      <c r="E13" s="340">
        <v>2970.4599999999996</v>
      </c>
      <c r="F13" s="340">
        <v>6628.4399999999987</v>
      </c>
      <c r="G13" s="340"/>
      <c r="H13" s="340">
        <v>2603.2599999999998</v>
      </c>
      <c r="I13" s="340">
        <v>2603.2599999999998</v>
      </c>
      <c r="J13" s="340">
        <v>39889.619999999995</v>
      </c>
      <c r="K13" s="340">
        <v>11814.1312</v>
      </c>
      <c r="L13" s="364">
        <v>0</v>
      </c>
      <c r="M13" s="80" t="s">
        <v>387</v>
      </c>
      <c r="N13" s="80" t="s">
        <v>365</v>
      </c>
      <c r="O13" s="164">
        <v>37438</v>
      </c>
      <c r="P13" s="164"/>
      <c r="Q13" s="80">
        <v>1734</v>
      </c>
      <c r="R13" s="80">
        <v>100</v>
      </c>
      <c r="S13" s="164"/>
      <c r="T13" s="258" t="s">
        <v>486</v>
      </c>
      <c r="U13" s="258">
        <v>2</v>
      </c>
      <c r="V13" s="203"/>
      <c r="W13" s="261"/>
      <c r="X13" s="261"/>
      <c r="Y13" s="261"/>
      <c r="Z13" s="261"/>
      <c r="AA13" s="261"/>
      <c r="AB13" s="261"/>
    </row>
    <row r="14" spans="2:28" ht="36" x14ac:dyDescent="0.35">
      <c r="B14" s="80"/>
      <c r="C14" s="203" t="s">
        <v>485</v>
      </c>
      <c r="D14" s="340">
        <v>30364.92</v>
      </c>
      <c r="E14" s="340">
        <v>1003.28</v>
      </c>
      <c r="F14" s="340">
        <v>6628.4400000000023</v>
      </c>
      <c r="G14" s="340"/>
      <c r="H14" s="340">
        <v>2608.56</v>
      </c>
      <c r="I14" s="340">
        <v>2608.56</v>
      </c>
      <c r="J14" s="340">
        <v>37996.639999999999</v>
      </c>
      <c r="K14" s="340">
        <v>11837.8752</v>
      </c>
      <c r="L14" s="364">
        <v>0</v>
      </c>
      <c r="M14" s="80" t="s">
        <v>387</v>
      </c>
      <c r="N14" s="80" t="s">
        <v>365</v>
      </c>
      <c r="O14" s="164">
        <v>37018</v>
      </c>
      <c r="P14" s="164"/>
      <c r="Q14" s="80">
        <v>1734</v>
      </c>
      <c r="R14" s="80">
        <v>100</v>
      </c>
      <c r="S14" s="164"/>
      <c r="T14" s="258" t="s">
        <v>486</v>
      </c>
      <c r="U14" s="258">
        <v>2</v>
      </c>
      <c r="V14" s="203"/>
      <c r="W14" s="261"/>
      <c r="X14" s="261"/>
      <c r="Y14" s="261"/>
      <c r="Z14" s="261"/>
      <c r="AA14" s="261"/>
      <c r="AB14" s="261"/>
    </row>
    <row r="15" spans="2:28" ht="36" x14ac:dyDescent="0.35">
      <c r="B15" s="80"/>
      <c r="C15" s="203" t="s">
        <v>485</v>
      </c>
      <c r="D15" s="340">
        <v>28335.02</v>
      </c>
      <c r="E15" s="340">
        <v>2192.8900000000003</v>
      </c>
      <c r="F15" s="340">
        <v>6104.1400000000031</v>
      </c>
      <c r="G15" s="340"/>
      <c r="H15" s="340">
        <v>2436.2400000000002</v>
      </c>
      <c r="I15" s="340">
        <v>2436.2400000000002</v>
      </c>
      <c r="J15" s="340">
        <v>36632.050000000003</v>
      </c>
      <c r="K15" s="340">
        <v>11020.531200000001</v>
      </c>
      <c r="L15" s="364">
        <v>0</v>
      </c>
      <c r="M15" s="80" t="s">
        <v>391</v>
      </c>
      <c r="N15" s="80" t="s">
        <v>365</v>
      </c>
      <c r="O15" s="164">
        <v>32527</v>
      </c>
      <c r="P15" s="164"/>
      <c r="Q15" s="80">
        <v>1734</v>
      </c>
      <c r="R15" s="80">
        <v>92.09</v>
      </c>
      <c r="S15" s="164"/>
      <c r="T15" s="258" t="s">
        <v>486</v>
      </c>
      <c r="U15" s="258">
        <v>2</v>
      </c>
      <c r="V15" s="203"/>
      <c r="W15" s="261"/>
      <c r="X15" s="261"/>
      <c r="Y15" s="261"/>
      <c r="Z15" s="261"/>
      <c r="AA15" s="261"/>
      <c r="AB15" s="261"/>
    </row>
    <row r="16" spans="2:28" ht="36" x14ac:dyDescent="0.35">
      <c r="B16" s="80"/>
      <c r="C16" s="203" t="s">
        <v>485</v>
      </c>
      <c r="D16" s="340">
        <v>30358.799999999999</v>
      </c>
      <c r="E16" s="340">
        <v>2665.93</v>
      </c>
      <c r="F16" s="340">
        <v>6628.4399999999987</v>
      </c>
      <c r="G16" s="340"/>
      <c r="H16" s="340">
        <v>2598</v>
      </c>
      <c r="I16" s="340">
        <v>2598</v>
      </c>
      <c r="J16" s="340">
        <v>39653.17</v>
      </c>
      <c r="K16" s="340">
        <v>11835.916799999999</v>
      </c>
      <c r="L16" s="367">
        <v>0</v>
      </c>
      <c r="M16" s="340" t="s">
        <v>387</v>
      </c>
      <c r="N16" s="80" t="s">
        <v>365</v>
      </c>
      <c r="O16" s="164">
        <v>37648</v>
      </c>
      <c r="P16" s="164"/>
      <c r="Q16" s="80">
        <v>1734</v>
      </c>
      <c r="R16" s="80">
        <v>100</v>
      </c>
      <c r="S16" s="164"/>
      <c r="T16" s="258" t="s">
        <v>486</v>
      </c>
      <c r="U16" s="258">
        <v>2</v>
      </c>
      <c r="V16" s="368"/>
      <c r="W16" s="261"/>
      <c r="X16" s="261"/>
      <c r="Y16" s="261"/>
      <c r="Z16" s="261"/>
      <c r="AA16" s="261"/>
      <c r="AB16" s="261"/>
    </row>
    <row r="17" spans="2:28" ht="36" x14ac:dyDescent="0.35">
      <c r="B17" s="80"/>
      <c r="C17" s="203" t="s">
        <v>485</v>
      </c>
      <c r="D17" s="340">
        <v>30290.719999999998</v>
      </c>
      <c r="E17" s="340">
        <v>4655.82</v>
      </c>
      <c r="F17" s="340">
        <v>6628.4399999999987</v>
      </c>
      <c r="G17" s="340"/>
      <c r="H17" s="340">
        <v>2603.2599999999998</v>
      </c>
      <c r="I17" s="340">
        <v>2603.2599999999998</v>
      </c>
      <c r="J17" s="340">
        <v>41574.979999999996</v>
      </c>
      <c r="K17" s="340">
        <v>11814.1312</v>
      </c>
      <c r="L17" s="367">
        <v>0</v>
      </c>
      <c r="M17" s="340" t="s">
        <v>387</v>
      </c>
      <c r="N17" s="80" t="s">
        <v>365</v>
      </c>
      <c r="O17" s="164">
        <v>37403</v>
      </c>
      <c r="P17" s="164"/>
      <c r="Q17" s="80">
        <v>1734</v>
      </c>
      <c r="R17" s="80">
        <v>100</v>
      </c>
      <c r="S17" s="164"/>
      <c r="T17" s="258" t="s">
        <v>486</v>
      </c>
      <c r="U17" s="258">
        <v>2</v>
      </c>
      <c r="V17" s="368"/>
      <c r="W17" s="261"/>
      <c r="X17" s="261"/>
      <c r="Y17" s="261"/>
      <c r="Z17" s="261"/>
      <c r="AA17" s="261"/>
      <c r="AB17" s="261"/>
    </row>
    <row r="18" spans="2:28" ht="36" x14ac:dyDescent="0.35">
      <c r="B18" s="80"/>
      <c r="C18" s="203" t="s">
        <v>485</v>
      </c>
      <c r="D18" s="340">
        <v>23235.100000000002</v>
      </c>
      <c r="E18" s="340">
        <v>230.44</v>
      </c>
      <c r="F18" s="340">
        <v>386.81999999999971</v>
      </c>
      <c r="G18" s="340"/>
      <c r="H18" s="340">
        <v>1663.5800000000002</v>
      </c>
      <c r="I18" s="340">
        <v>1663.5800000000002</v>
      </c>
      <c r="J18" s="340">
        <v>23852.36</v>
      </c>
      <c r="K18" s="340">
        <v>7559.0144000000009</v>
      </c>
      <c r="L18" s="367">
        <v>0</v>
      </c>
      <c r="M18" s="340" t="s">
        <v>387</v>
      </c>
      <c r="N18" s="80" t="s">
        <v>365</v>
      </c>
      <c r="O18" s="164">
        <v>37378</v>
      </c>
      <c r="P18" s="164"/>
      <c r="Q18" s="80">
        <v>1734</v>
      </c>
      <c r="R18" s="80">
        <v>100</v>
      </c>
      <c r="S18" s="164"/>
      <c r="T18" s="258" t="s">
        <v>487</v>
      </c>
      <c r="U18" s="258">
        <v>4</v>
      </c>
      <c r="V18" s="368"/>
      <c r="W18" s="261"/>
      <c r="X18" s="261"/>
      <c r="Y18" s="261"/>
      <c r="Z18" s="261"/>
      <c r="AA18" s="261"/>
      <c r="AB18" s="261"/>
    </row>
    <row r="19" spans="2:28" ht="36" x14ac:dyDescent="0.35">
      <c r="B19" s="80"/>
      <c r="C19" s="203" t="s">
        <v>485</v>
      </c>
      <c r="D19" s="340">
        <v>27940.3</v>
      </c>
      <c r="E19" s="340">
        <v>1904.54</v>
      </c>
      <c r="F19" s="340">
        <v>6104.84</v>
      </c>
      <c r="G19" s="340"/>
      <c r="H19" s="340">
        <v>2387.85</v>
      </c>
      <c r="I19" s="340">
        <v>2387.85</v>
      </c>
      <c r="J19" s="340">
        <v>35949.68</v>
      </c>
      <c r="K19" s="340">
        <v>10894.444799999999</v>
      </c>
      <c r="L19" s="367">
        <v>0</v>
      </c>
      <c r="M19" s="340" t="s">
        <v>391</v>
      </c>
      <c r="N19" s="80" t="s">
        <v>365</v>
      </c>
      <c r="O19" s="164">
        <v>38082</v>
      </c>
      <c r="P19" s="164"/>
      <c r="Q19" s="80">
        <v>1734</v>
      </c>
      <c r="R19" s="80">
        <v>92.1</v>
      </c>
      <c r="S19" s="164"/>
      <c r="T19" s="258" t="s">
        <v>486</v>
      </c>
      <c r="U19" s="258">
        <v>2</v>
      </c>
      <c r="V19" s="368"/>
      <c r="W19" s="261"/>
      <c r="X19" s="261"/>
      <c r="Y19" s="261"/>
      <c r="Z19" s="261"/>
      <c r="AA19" s="261"/>
      <c r="AB19" s="261"/>
    </row>
    <row r="20" spans="2:28" ht="36" x14ac:dyDescent="0.35">
      <c r="B20" s="80"/>
      <c r="C20" s="203" t="s">
        <v>485</v>
      </c>
      <c r="D20" s="340">
        <v>26705.78</v>
      </c>
      <c r="E20" s="340">
        <v>3331.62</v>
      </c>
      <c r="F20" s="340">
        <v>5799.9199999999983</v>
      </c>
      <c r="G20" s="340"/>
      <c r="H20" s="340">
        <v>2277.89</v>
      </c>
      <c r="I20" s="340">
        <v>2277.89</v>
      </c>
      <c r="J20" s="340">
        <v>35837.32</v>
      </c>
      <c r="K20" s="340">
        <v>10401.823999999999</v>
      </c>
      <c r="L20" s="367">
        <v>0</v>
      </c>
      <c r="M20" s="340" t="s">
        <v>387</v>
      </c>
      <c r="N20" s="80" t="s">
        <v>365</v>
      </c>
      <c r="O20" s="164">
        <v>37383</v>
      </c>
      <c r="P20" s="164"/>
      <c r="Q20" s="80">
        <v>1734</v>
      </c>
      <c r="R20" s="80">
        <v>87.5</v>
      </c>
      <c r="S20" s="164">
        <v>47212</v>
      </c>
      <c r="T20" s="258" t="s">
        <v>486</v>
      </c>
      <c r="U20" s="258">
        <v>2</v>
      </c>
      <c r="V20" s="368"/>
      <c r="W20" s="261"/>
      <c r="X20" s="261"/>
      <c r="Y20" s="261"/>
      <c r="Z20" s="261"/>
      <c r="AA20" s="261"/>
      <c r="AB20" s="261"/>
    </row>
    <row r="21" spans="2:28" ht="36" x14ac:dyDescent="0.35">
      <c r="B21" s="80"/>
      <c r="C21" s="203" t="s">
        <v>485</v>
      </c>
      <c r="D21" s="340">
        <v>30580.42</v>
      </c>
      <c r="E21" s="340">
        <v>4466.4000000000005</v>
      </c>
      <c r="F21" s="340">
        <v>11628.479999999996</v>
      </c>
      <c r="G21" s="340"/>
      <c r="H21" s="340">
        <v>2613.8299999999995</v>
      </c>
      <c r="I21" s="340">
        <v>2613.8299999999995</v>
      </c>
      <c r="J21" s="340">
        <v>46675.299999999996</v>
      </c>
      <c r="K21" s="340">
        <v>13506.847999999998</v>
      </c>
      <c r="L21" s="367">
        <v>3500</v>
      </c>
      <c r="M21" s="340" t="s">
        <v>387</v>
      </c>
      <c r="N21" s="80" t="s">
        <v>365</v>
      </c>
      <c r="O21" s="164">
        <v>36515</v>
      </c>
      <c r="P21" s="164"/>
      <c r="Q21" s="80">
        <v>1734</v>
      </c>
      <c r="R21" s="80">
        <v>100</v>
      </c>
      <c r="S21" s="164"/>
      <c r="T21" s="258" t="s">
        <v>570</v>
      </c>
      <c r="U21" s="258">
        <v>2</v>
      </c>
      <c r="V21" s="368"/>
      <c r="W21" s="261"/>
      <c r="X21" s="261"/>
      <c r="Y21" s="261"/>
      <c r="Z21" s="261"/>
      <c r="AA21" s="261"/>
      <c r="AB21" s="261"/>
    </row>
    <row r="22" spans="2:28" ht="36" x14ac:dyDescent="0.35">
      <c r="B22" s="80"/>
      <c r="C22" s="203" t="s">
        <v>485</v>
      </c>
      <c r="D22" s="340">
        <v>22669.439999999999</v>
      </c>
      <c r="E22" s="340">
        <v>1700.3300000000002</v>
      </c>
      <c r="F22" s="340">
        <v>5013.82</v>
      </c>
      <c r="G22" s="340"/>
      <c r="H22" s="340">
        <v>1957.1299999999999</v>
      </c>
      <c r="I22" s="340">
        <v>1957.1299999999999</v>
      </c>
      <c r="J22" s="340">
        <v>29383.59</v>
      </c>
      <c r="K22" s="340">
        <v>8858.6432000000004</v>
      </c>
      <c r="L22" s="367">
        <v>0</v>
      </c>
      <c r="M22" s="340" t="s">
        <v>387</v>
      </c>
      <c r="N22" s="80" t="s">
        <v>365</v>
      </c>
      <c r="O22" s="164">
        <v>38559</v>
      </c>
      <c r="P22" s="164"/>
      <c r="Q22" s="80">
        <v>1734</v>
      </c>
      <c r="R22" s="80">
        <v>75.64</v>
      </c>
      <c r="S22" s="164">
        <v>48564</v>
      </c>
      <c r="T22" s="258" t="s">
        <v>486</v>
      </c>
      <c r="U22" s="258">
        <v>2</v>
      </c>
      <c r="V22" s="368"/>
      <c r="W22" s="261"/>
      <c r="X22" s="261"/>
      <c r="Y22" s="261"/>
      <c r="Z22" s="261"/>
      <c r="AA22" s="261"/>
      <c r="AB22" s="261"/>
    </row>
    <row r="23" spans="2:28" ht="36" x14ac:dyDescent="0.35">
      <c r="B23" s="80"/>
      <c r="C23" s="203" t="s">
        <v>485</v>
      </c>
      <c r="D23" s="340">
        <v>29514.699999999997</v>
      </c>
      <c r="E23" s="340">
        <v>1147.19</v>
      </c>
      <c r="F23" s="340">
        <v>6628.4400000000023</v>
      </c>
      <c r="G23" s="340"/>
      <c r="H23" s="340">
        <v>2571.5299999999997</v>
      </c>
      <c r="I23" s="340">
        <v>2571.5299999999997</v>
      </c>
      <c r="J23" s="340">
        <v>37290.33</v>
      </c>
      <c r="K23" s="340">
        <v>11565.8048</v>
      </c>
      <c r="L23" s="367">
        <v>0</v>
      </c>
      <c r="M23" s="340" t="s">
        <v>387</v>
      </c>
      <c r="N23" s="80" t="s">
        <v>365</v>
      </c>
      <c r="O23" s="164">
        <v>39517</v>
      </c>
      <c r="P23" s="164"/>
      <c r="Q23" s="80">
        <v>1734</v>
      </c>
      <c r="R23" s="80">
        <v>100</v>
      </c>
      <c r="S23" s="164"/>
      <c r="T23" s="258" t="s">
        <v>486</v>
      </c>
      <c r="U23" s="258">
        <v>2</v>
      </c>
      <c r="V23" s="368"/>
      <c r="W23" s="261"/>
      <c r="X23" s="261"/>
      <c r="Y23" s="261"/>
      <c r="Z23" s="261"/>
      <c r="AA23" s="261"/>
      <c r="AB23" s="261"/>
    </row>
    <row r="24" spans="2:28" ht="36" x14ac:dyDescent="0.35">
      <c r="B24" s="80"/>
      <c r="C24" s="203" t="s">
        <v>485</v>
      </c>
      <c r="D24" s="340">
        <v>29631</v>
      </c>
      <c r="E24" s="340">
        <v>1871.2499999999998</v>
      </c>
      <c r="F24" s="340">
        <v>6628.4400000000023</v>
      </c>
      <c r="G24" s="340"/>
      <c r="H24" s="340">
        <v>2566.2599999999998</v>
      </c>
      <c r="I24" s="340">
        <v>2566.2599999999998</v>
      </c>
      <c r="J24" s="340">
        <v>38130.69</v>
      </c>
      <c r="K24" s="340">
        <v>11603.0208</v>
      </c>
      <c r="L24" s="367">
        <v>0</v>
      </c>
      <c r="M24" s="340" t="s">
        <v>390</v>
      </c>
      <c r="N24" s="80" t="s">
        <v>365</v>
      </c>
      <c r="O24" s="164">
        <v>39615</v>
      </c>
      <c r="P24" s="164"/>
      <c r="Q24" s="80">
        <v>1734</v>
      </c>
      <c r="R24" s="80">
        <v>100</v>
      </c>
      <c r="S24" s="164"/>
      <c r="T24" s="258" t="s">
        <v>486</v>
      </c>
      <c r="U24" s="258">
        <v>2</v>
      </c>
      <c r="V24" s="368"/>
      <c r="W24" s="261"/>
      <c r="X24" s="261"/>
      <c r="Y24" s="261"/>
      <c r="Z24" s="261"/>
      <c r="AA24" s="261"/>
      <c r="AB24" s="261"/>
    </row>
    <row r="25" spans="2:28" ht="36" x14ac:dyDescent="0.35">
      <c r="B25" s="80"/>
      <c r="C25" s="203" t="s">
        <v>485</v>
      </c>
      <c r="D25" s="340">
        <v>22710.98</v>
      </c>
      <c r="E25" s="340">
        <v>1497.71</v>
      </c>
      <c r="F25" s="340">
        <v>386.82000000000335</v>
      </c>
      <c r="G25" s="340"/>
      <c r="H25" s="340">
        <v>1616.0200000000002</v>
      </c>
      <c r="I25" s="340">
        <v>1616.0200000000002</v>
      </c>
      <c r="J25" s="340">
        <v>24595.510000000002</v>
      </c>
      <c r="K25" s="340">
        <v>7391.2960000000012</v>
      </c>
      <c r="L25" s="367">
        <v>0</v>
      </c>
      <c r="M25" s="340" t="s">
        <v>390</v>
      </c>
      <c r="N25" s="80" t="s">
        <v>365</v>
      </c>
      <c r="O25" s="164">
        <v>40700</v>
      </c>
      <c r="P25" s="164"/>
      <c r="Q25" s="80">
        <v>1734</v>
      </c>
      <c r="R25" s="80">
        <v>100</v>
      </c>
      <c r="S25" s="164"/>
      <c r="T25" s="258" t="s">
        <v>487</v>
      </c>
      <c r="U25" s="258">
        <v>4</v>
      </c>
      <c r="V25" s="368"/>
      <c r="W25" s="261"/>
      <c r="X25" s="261"/>
      <c r="Y25" s="261"/>
      <c r="Z25" s="261"/>
      <c r="AA25" s="261"/>
      <c r="AB25" s="261"/>
    </row>
    <row r="26" spans="2:28" ht="36" x14ac:dyDescent="0.35">
      <c r="B26" s="80"/>
      <c r="C26" s="203" t="s">
        <v>485</v>
      </c>
      <c r="D26" s="340">
        <v>19597.28</v>
      </c>
      <c r="E26" s="340">
        <v>1551.24</v>
      </c>
      <c r="F26" s="340">
        <v>338.52000000000044</v>
      </c>
      <c r="G26" s="340"/>
      <c r="H26" s="340">
        <v>1403.7399999999998</v>
      </c>
      <c r="I26" s="340">
        <v>1403.7399999999998</v>
      </c>
      <c r="J26" s="340">
        <v>21487.040000000001</v>
      </c>
      <c r="K26" s="340">
        <v>6379.4560000000001</v>
      </c>
      <c r="L26" s="367">
        <v>0</v>
      </c>
      <c r="M26" s="340" t="s">
        <v>387</v>
      </c>
      <c r="N26" s="80" t="s">
        <v>365</v>
      </c>
      <c r="O26" s="164">
        <v>41226</v>
      </c>
      <c r="P26" s="164"/>
      <c r="Q26" s="80">
        <v>1734</v>
      </c>
      <c r="R26" s="80">
        <v>87.5</v>
      </c>
      <c r="S26" s="164">
        <v>49401</v>
      </c>
      <c r="T26" s="258" t="s">
        <v>487</v>
      </c>
      <c r="U26" s="258">
        <v>4</v>
      </c>
      <c r="V26" s="368"/>
      <c r="W26" s="261"/>
      <c r="X26" s="261"/>
      <c r="Y26" s="261"/>
      <c r="Z26" s="261"/>
      <c r="AA26" s="261"/>
      <c r="AB26" s="261"/>
    </row>
    <row r="27" spans="2:28" ht="36" x14ac:dyDescent="0.35">
      <c r="B27" s="80"/>
      <c r="C27" s="203" t="s">
        <v>485</v>
      </c>
      <c r="D27" s="340">
        <v>16565.079999999998</v>
      </c>
      <c r="E27" s="340">
        <v>1333.3899999999999</v>
      </c>
      <c r="F27" s="340">
        <v>282.38000000000102</v>
      </c>
      <c r="G27" s="340"/>
      <c r="H27" s="340">
        <v>1179.69</v>
      </c>
      <c r="I27" s="340">
        <v>1179.69</v>
      </c>
      <c r="J27" s="340">
        <v>18180.849999999999</v>
      </c>
      <c r="K27" s="340">
        <v>5391.1871999999994</v>
      </c>
      <c r="L27" s="367">
        <v>0</v>
      </c>
      <c r="M27" s="340" t="s">
        <v>390</v>
      </c>
      <c r="N27" s="80" t="s">
        <v>365</v>
      </c>
      <c r="O27" s="164">
        <v>40695</v>
      </c>
      <c r="P27" s="164"/>
      <c r="Q27" s="80">
        <v>1734</v>
      </c>
      <c r="R27" s="80">
        <v>73</v>
      </c>
      <c r="S27" s="164">
        <v>47928</v>
      </c>
      <c r="T27" s="258" t="s">
        <v>487</v>
      </c>
      <c r="U27" s="258">
        <v>4</v>
      </c>
      <c r="V27" s="368"/>
      <c r="W27" s="261"/>
      <c r="X27" s="261"/>
      <c r="Y27" s="261"/>
      <c r="Z27" s="261"/>
      <c r="AA27" s="261"/>
      <c r="AB27" s="261"/>
    </row>
    <row r="28" spans="2:28" ht="36" x14ac:dyDescent="0.35">
      <c r="B28" s="80"/>
      <c r="C28" s="203" t="s">
        <v>485</v>
      </c>
      <c r="D28" s="340">
        <v>32429.5</v>
      </c>
      <c r="E28" s="340">
        <v>15143.59</v>
      </c>
      <c r="F28" s="340">
        <v>32089.699999999997</v>
      </c>
      <c r="G28" s="340"/>
      <c r="H28" s="340">
        <v>4169.82</v>
      </c>
      <c r="I28" s="340">
        <v>4169.82</v>
      </c>
      <c r="J28" s="340">
        <v>79662.789999999994</v>
      </c>
      <c r="K28" s="340">
        <v>18126.72</v>
      </c>
      <c r="L28" s="367">
        <v>5500</v>
      </c>
      <c r="M28" s="340" t="s">
        <v>387</v>
      </c>
      <c r="N28" s="80" t="s">
        <v>365</v>
      </c>
      <c r="O28" s="164">
        <v>41975</v>
      </c>
      <c r="P28" s="164"/>
      <c r="Q28" s="80">
        <v>1734</v>
      </c>
      <c r="R28" s="80">
        <v>100</v>
      </c>
      <c r="S28" s="164"/>
      <c r="T28" s="258" t="s">
        <v>493</v>
      </c>
      <c r="U28" s="258">
        <v>1</v>
      </c>
      <c r="V28" s="368"/>
      <c r="W28" s="261"/>
      <c r="X28" s="261"/>
      <c r="Y28" s="261"/>
      <c r="Z28" s="261"/>
      <c r="AA28" s="261"/>
      <c r="AB28" s="261"/>
    </row>
    <row r="29" spans="2:28" ht="36" x14ac:dyDescent="0.35">
      <c r="B29" s="80"/>
      <c r="C29" s="203" t="s">
        <v>485</v>
      </c>
      <c r="D29" s="340">
        <v>20935.460000000003</v>
      </c>
      <c r="E29" s="340">
        <v>1649.3899999999999</v>
      </c>
      <c r="F29" s="340">
        <v>0</v>
      </c>
      <c r="G29" s="340"/>
      <c r="H29" s="340">
        <v>1495.39</v>
      </c>
      <c r="I29" s="340">
        <v>1495.39</v>
      </c>
      <c r="J29" s="340">
        <v>22584.850000000002</v>
      </c>
      <c r="K29" s="340">
        <v>6699.3472000000011</v>
      </c>
      <c r="L29" s="367">
        <v>0</v>
      </c>
      <c r="M29" s="340" t="s">
        <v>390</v>
      </c>
      <c r="N29" s="80" t="s">
        <v>365</v>
      </c>
      <c r="O29" s="164">
        <v>42615</v>
      </c>
      <c r="P29" s="164"/>
      <c r="Q29" s="80">
        <v>1734</v>
      </c>
      <c r="R29" s="80">
        <v>100</v>
      </c>
      <c r="S29" s="164"/>
      <c r="T29" s="258" t="s">
        <v>555</v>
      </c>
      <c r="U29" s="258">
        <v>9</v>
      </c>
      <c r="V29" s="368"/>
      <c r="W29" s="261"/>
      <c r="X29" s="261"/>
      <c r="Y29" s="261"/>
      <c r="Z29" s="261"/>
      <c r="AA29" s="261"/>
      <c r="AB29" s="261"/>
    </row>
    <row r="30" spans="2:28" ht="36" x14ac:dyDescent="0.35">
      <c r="B30" s="80"/>
      <c r="C30" s="203" t="s">
        <v>485</v>
      </c>
      <c r="D30" s="340">
        <v>22563.800000000003</v>
      </c>
      <c r="E30" s="340">
        <v>2483.44</v>
      </c>
      <c r="F30" s="340">
        <v>5445.2999999999993</v>
      </c>
      <c r="G30" s="340"/>
      <c r="H30" s="340">
        <v>2000.65</v>
      </c>
      <c r="I30" s="340">
        <v>2000.65</v>
      </c>
      <c r="J30" s="340">
        <v>30492.54</v>
      </c>
      <c r="K30" s="340">
        <v>8962.9120000000003</v>
      </c>
      <c r="L30" s="367">
        <v>0</v>
      </c>
      <c r="M30" s="340" t="s">
        <v>497</v>
      </c>
      <c r="N30" s="80" t="s">
        <v>365</v>
      </c>
      <c r="O30" s="164">
        <v>44263</v>
      </c>
      <c r="P30" s="164"/>
      <c r="Q30" s="80">
        <v>1734</v>
      </c>
      <c r="R30" s="80">
        <v>82.15</v>
      </c>
      <c r="S30" s="164"/>
      <c r="T30" s="258" t="s">
        <v>496</v>
      </c>
      <c r="U30" s="258">
        <v>2</v>
      </c>
      <c r="V30" s="368"/>
      <c r="W30" s="261"/>
      <c r="X30" s="261"/>
      <c r="Y30" s="261"/>
      <c r="Z30" s="261"/>
      <c r="AA30" s="261"/>
      <c r="AB30" s="261"/>
    </row>
    <row r="31" spans="2:28" ht="36" x14ac:dyDescent="0.35">
      <c r="B31" s="80"/>
      <c r="C31" s="203" t="s">
        <v>485</v>
      </c>
      <c r="D31" s="340">
        <v>20959.12</v>
      </c>
      <c r="E31" s="340">
        <v>3751.66</v>
      </c>
      <c r="F31" s="340">
        <v>381.92000000000189</v>
      </c>
      <c r="G31" s="340"/>
      <c r="H31" s="340">
        <v>1524.3600000000001</v>
      </c>
      <c r="I31" s="340">
        <v>1524.3600000000001</v>
      </c>
      <c r="J31" s="340">
        <v>25092.7</v>
      </c>
      <c r="K31" s="340">
        <v>6829.1328000000003</v>
      </c>
      <c r="L31" s="367">
        <v>0</v>
      </c>
      <c r="M31" s="340" t="s">
        <v>387</v>
      </c>
      <c r="N31" s="80" t="s">
        <v>365</v>
      </c>
      <c r="O31" s="164">
        <v>43613</v>
      </c>
      <c r="P31" s="164"/>
      <c r="Q31" s="80">
        <v>1734</v>
      </c>
      <c r="R31" s="80">
        <v>100</v>
      </c>
      <c r="S31" s="164"/>
      <c r="T31" s="258" t="s">
        <v>495</v>
      </c>
      <c r="U31" s="258">
        <v>4</v>
      </c>
      <c r="V31" s="368"/>
      <c r="W31" s="261"/>
      <c r="X31" s="261"/>
      <c r="Y31" s="261"/>
      <c r="Z31" s="261"/>
      <c r="AA31" s="261"/>
      <c r="AB31" s="261"/>
    </row>
    <row r="32" spans="2:28" ht="36" x14ac:dyDescent="0.35">
      <c r="B32" s="80"/>
      <c r="C32" s="203" t="s">
        <v>485</v>
      </c>
      <c r="D32" s="340">
        <v>21047.74</v>
      </c>
      <c r="E32" s="340">
        <v>1705.6200000000001</v>
      </c>
      <c r="F32" s="340">
        <v>381.91999999999825</v>
      </c>
      <c r="G32" s="340"/>
      <c r="H32" s="340">
        <v>1506.99</v>
      </c>
      <c r="I32" s="340">
        <v>1506.99</v>
      </c>
      <c r="J32" s="340">
        <v>23135.279999999999</v>
      </c>
      <c r="K32" s="340">
        <v>6857.4912000000004</v>
      </c>
      <c r="L32" s="367">
        <v>0</v>
      </c>
      <c r="M32" s="340" t="s">
        <v>387</v>
      </c>
      <c r="N32" s="80" t="s">
        <v>365</v>
      </c>
      <c r="O32" s="164">
        <v>44365</v>
      </c>
      <c r="P32" s="164"/>
      <c r="Q32" s="80">
        <v>1734</v>
      </c>
      <c r="R32" s="80">
        <v>100</v>
      </c>
      <c r="S32" s="164"/>
      <c r="T32" s="258" t="s">
        <v>495</v>
      </c>
      <c r="U32" s="258">
        <v>4</v>
      </c>
      <c r="V32" s="368"/>
      <c r="W32" s="261"/>
      <c r="X32" s="261"/>
      <c r="Y32" s="261"/>
      <c r="Z32" s="261"/>
      <c r="AA32" s="261"/>
      <c r="AB32" s="261"/>
    </row>
    <row r="33" spans="2:29" ht="36" x14ac:dyDescent="0.35">
      <c r="B33" s="80"/>
      <c r="C33" s="203" t="s">
        <v>485</v>
      </c>
      <c r="D33" s="340">
        <v>10628.38</v>
      </c>
      <c r="E33" s="340">
        <v>479.89000000000004</v>
      </c>
      <c r="F33" s="340">
        <v>190.96000000000095</v>
      </c>
      <c r="G33" s="340"/>
      <c r="H33" s="340">
        <v>749.11</v>
      </c>
      <c r="I33" s="340">
        <v>749.11</v>
      </c>
      <c r="J33" s="340">
        <v>11299.23</v>
      </c>
      <c r="K33" s="340">
        <v>3462.1887999999999</v>
      </c>
      <c r="L33" s="367">
        <v>0</v>
      </c>
      <c r="M33" s="340" t="s">
        <v>497</v>
      </c>
      <c r="N33" s="80" t="s">
        <v>365</v>
      </c>
      <c r="O33" s="164">
        <v>44621</v>
      </c>
      <c r="P33" s="164"/>
      <c r="Q33" s="80">
        <v>1734</v>
      </c>
      <c r="R33" s="80">
        <v>50</v>
      </c>
      <c r="S33" s="164"/>
      <c r="T33" s="258" t="s">
        <v>495</v>
      </c>
      <c r="U33" s="258">
        <v>4</v>
      </c>
      <c r="V33" s="368"/>
      <c r="W33" s="261"/>
      <c r="X33" s="261"/>
      <c r="Y33" s="261"/>
      <c r="Z33" s="261"/>
      <c r="AA33" s="261"/>
      <c r="AB33" s="261"/>
    </row>
    <row r="34" spans="2:29" ht="36" x14ac:dyDescent="0.35">
      <c r="B34" s="80"/>
      <c r="C34" s="203" t="s">
        <v>485</v>
      </c>
      <c r="D34" s="340">
        <v>17990.28</v>
      </c>
      <c r="E34" s="340">
        <v>1107.9499999999998</v>
      </c>
      <c r="F34" s="340">
        <v>0</v>
      </c>
      <c r="G34" s="340"/>
      <c r="H34" s="340">
        <v>1261.32</v>
      </c>
      <c r="I34" s="340">
        <v>1261.32</v>
      </c>
      <c r="J34" s="340">
        <v>19098.23</v>
      </c>
      <c r="K34" s="340">
        <v>5756.8895999999995</v>
      </c>
      <c r="L34" s="367">
        <v>0</v>
      </c>
      <c r="M34" s="340" t="s">
        <v>387</v>
      </c>
      <c r="N34" s="80" t="s">
        <v>365</v>
      </c>
      <c r="O34" s="164">
        <v>44690</v>
      </c>
      <c r="P34" s="164"/>
      <c r="Q34" s="80">
        <v>1734</v>
      </c>
      <c r="R34" s="80">
        <v>100</v>
      </c>
      <c r="S34" s="164"/>
      <c r="T34" s="258" t="s">
        <v>504</v>
      </c>
      <c r="U34" s="258">
        <v>5</v>
      </c>
      <c r="V34" s="368"/>
      <c r="W34" s="261"/>
      <c r="X34" s="261"/>
      <c r="Y34" s="261"/>
      <c r="Z34" s="261"/>
      <c r="AA34" s="261"/>
      <c r="AB34" s="261"/>
    </row>
    <row r="35" spans="2:29" ht="36" x14ac:dyDescent="0.35">
      <c r="B35" s="370" t="s">
        <v>571</v>
      </c>
      <c r="C35" s="207" t="s">
        <v>485</v>
      </c>
      <c r="D35" s="250">
        <f>(1/2)*20058.12</f>
        <v>10029.06</v>
      </c>
      <c r="E35" s="250">
        <f>(1/2)*941.32</f>
        <v>470.66</v>
      </c>
      <c r="F35" s="250">
        <f>(1/2)*11431.7</f>
        <v>5715.85</v>
      </c>
      <c r="G35" s="250"/>
      <c r="H35" s="250">
        <f>(1/2)*2239.15</f>
        <v>1119.575</v>
      </c>
      <c r="I35" s="250">
        <f>(1/2)*2239.15</f>
        <v>1119.575</v>
      </c>
      <c r="J35" s="250">
        <f>(1/2)*32431.14</f>
        <v>16215.57</v>
      </c>
      <c r="K35" s="250">
        <f>(1/2)*10076.7424</f>
        <v>5038.3711999999996</v>
      </c>
      <c r="L35" s="351">
        <f>(1/2)*1254</f>
        <v>627</v>
      </c>
      <c r="M35" s="250" t="s">
        <v>391</v>
      </c>
      <c r="N35" s="235" t="s">
        <v>365</v>
      </c>
      <c r="O35" s="211">
        <v>45208</v>
      </c>
      <c r="P35" s="211"/>
      <c r="Q35" s="235">
        <v>1734</v>
      </c>
      <c r="R35" s="369">
        <f>(1/2)*66</f>
        <v>33</v>
      </c>
      <c r="S35" s="211"/>
      <c r="T35" s="251" t="s">
        <v>523</v>
      </c>
      <c r="U35" s="251">
        <v>1</v>
      </c>
      <c r="V35" s="353"/>
      <c r="W35" s="242"/>
      <c r="X35" s="242"/>
      <c r="Y35" s="242"/>
      <c r="Z35" s="242"/>
      <c r="AA35" s="242"/>
      <c r="AB35" s="242"/>
    </row>
    <row r="36" spans="2:29" ht="51.75" customHeight="1" x14ac:dyDescent="0.35">
      <c r="B36" s="370" t="s">
        <v>572</v>
      </c>
      <c r="C36" s="207" t="s">
        <v>485</v>
      </c>
      <c r="D36" s="250">
        <f>(1/3)*19507.6</f>
        <v>6502.5333333333328</v>
      </c>
      <c r="E36" s="250">
        <f>(1/3)*2445.54</f>
        <v>815.18</v>
      </c>
      <c r="F36" s="250">
        <f>(1/3)*5824.56</f>
        <v>1941.52</v>
      </c>
      <c r="G36" s="250"/>
      <c r="H36" s="250">
        <f>(1/3)*1785.74</f>
        <v>595.24666666666667</v>
      </c>
      <c r="I36" s="250">
        <f>(1/3)*1785.74</f>
        <v>595.24666666666667</v>
      </c>
      <c r="J36" s="250">
        <f>(1/3)*27777.7</f>
        <v>9259.2333333333336</v>
      </c>
      <c r="K36" s="250">
        <f>(1/3)*8106.2912</f>
        <v>2702.0970666666663</v>
      </c>
      <c r="L36" s="351">
        <f>(1/3)*1200</f>
        <v>400</v>
      </c>
      <c r="M36" s="250" t="s">
        <v>390</v>
      </c>
      <c r="N36" s="235" t="s">
        <v>365</v>
      </c>
      <c r="O36" s="211">
        <v>43132</v>
      </c>
      <c r="P36" s="211"/>
      <c r="Q36" s="235">
        <v>1734</v>
      </c>
      <c r="R36" s="369">
        <f>(1/3)*100</f>
        <v>33.333333333333329</v>
      </c>
      <c r="S36" s="211"/>
      <c r="T36" s="251" t="s">
        <v>573</v>
      </c>
      <c r="U36" s="251">
        <v>8</v>
      </c>
      <c r="V36" s="353"/>
      <c r="W36" s="242"/>
      <c r="X36" s="242"/>
      <c r="Y36" s="242"/>
      <c r="Z36" s="242"/>
      <c r="AA36" s="242"/>
      <c r="AB36" s="242"/>
    </row>
    <row r="37" spans="2:29" ht="153" customHeight="1" x14ac:dyDescent="0.35">
      <c r="B37" s="370" t="s">
        <v>574</v>
      </c>
      <c r="C37" s="207" t="s">
        <v>485</v>
      </c>
      <c r="D37" s="250">
        <v>2406.194</v>
      </c>
      <c r="E37" s="250">
        <v>170.423</v>
      </c>
      <c r="F37" s="250">
        <v>408.92600000000022</v>
      </c>
      <c r="G37" s="250"/>
      <c r="H37" s="250">
        <v>201.07999999999998</v>
      </c>
      <c r="I37" s="250">
        <v>201.07999999999998</v>
      </c>
      <c r="J37" s="250">
        <v>2985.5430000000001</v>
      </c>
      <c r="K37" s="250">
        <v>900.83839999999998</v>
      </c>
      <c r="L37" s="351">
        <v>0</v>
      </c>
      <c r="M37" s="250" t="s">
        <v>390</v>
      </c>
      <c r="N37" s="235" t="s">
        <v>365</v>
      </c>
      <c r="O37" s="211">
        <v>39167</v>
      </c>
      <c r="P37" s="238"/>
      <c r="Q37" s="235">
        <v>1734</v>
      </c>
      <c r="R37" s="252">
        <v>10</v>
      </c>
      <c r="S37" s="352"/>
      <c r="T37" s="251" t="s">
        <v>508</v>
      </c>
      <c r="U37" s="251">
        <v>8</v>
      </c>
      <c r="V37" s="353"/>
      <c r="W37" s="242"/>
      <c r="X37" s="242"/>
      <c r="Y37" s="242"/>
      <c r="Z37" s="242"/>
      <c r="AA37" s="242"/>
      <c r="AB37" s="242"/>
    </row>
    <row r="38" spans="2:29" ht="153" customHeight="1" x14ac:dyDescent="0.35">
      <c r="B38" s="370" t="s">
        <v>574</v>
      </c>
      <c r="C38" s="207" t="s">
        <v>485</v>
      </c>
      <c r="D38" s="250">
        <v>2387.252</v>
      </c>
      <c r="E38" s="250">
        <v>143.655</v>
      </c>
      <c r="F38" s="250">
        <v>482.39799999999997</v>
      </c>
      <c r="G38" s="250"/>
      <c r="H38" s="250">
        <v>201.10499999999999</v>
      </c>
      <c r="I38" s="250">
        <v>201.10499999999999</v>
      </c>
      <c r="J38" s="250">
        <v>3013.3049999999998</v>
      </c>
      <c r="K38" s="250">
        <v>918.28800000000012</v>
      </c>
      <c r="L38" s="351">
        <v>0</v>
      </c>
      <c r="M38" s="250" t="s">
        <v>387</v>
      </c>
      <c r="N38" s="235" t="s">
        <v>365</v>
      </c>
      <c r="O38" s="211">
        <v>38845</v>
      </c>
      <c r="P38" s="238"/>
      <c r="Q38" s="235">
        <v>1734</v>
      </c>
      <c r="R38" s="252">
        <v>10</v>
      </c>
      <c r="S38" s="352"/>
      <c r="T38" s="251" t="s">
        <v>509</v>
      </c>
      <c r="U38" s="251">
        <v>8</v>
      </c>
      <c r="V38" s="353"/>
      <c r="W38" s="242"/>
      <c r="X38" s="242"/>
      <c r="Y38" s="242"/>
      <c r="Z38" s="242"/>
      <c r="AA38" s="242"/>
      <c r="AB38" s="242"/>
    </row>
    <row r="39" spans="2:29" ht="120" customHeight="1" x14ac:dyDescent="0.35">
      <c r="B39" s="370" t="s">
        <v>574</v>
      </c>
      <c r="C39" s="207" t="s">
        <v>485</v>
      </c>
      <c r="D39" s="250">
        <v>3242.0080000000003</v>
      </c>
      <c r="E39" s="250">
        <v>1515.021</v>
      </c>
      <c r="F39" s="250">
        <v>5267.9680000000008</v>
      </c>
      <c r="G39" s="250"/>
      <c r="H39" s="250">
        <v>557.42200000000003</v>
      </c>
      <c r="I39" s="250">
        <v>557.42200000000003</v>
      </c>
      <c r="J39" s="250">
        <v>10024.996999999999</v>
      </c>
      <c r="K39" s="250">
        <v>1812.672</v>
      </c>
      <c r="L39" s="351">
        <v>1250</v>
      </c>
      <c r="M39" s="250" t="s">
        <v>387</v>
      </c>
      <c r="N39" s="235" t="s">
        <v>365</v>
      </c>
      <c r="O39" s="211">
        <v>33273</v>
      </c>
      <c r="P39" s="238"/>
      <c r="Q39" s="235">
        <v>1734</v>
      </c>
      <c r="R39" s="252">
        <v>10</v>
      </c>
      <c r="S39" s="352"/>
      <c r="T39" s="251" t="s">
        <v>510</v>
      </c>
      <c r="U39" s="251">
        <v>6</v>
      </c>
      <c r="V39" s="353"/>
      <c r="W39" s="242"/>
      <c r="X39" s="242"/>
      <c r="Y39" s="242"/>
      <c r="Z39" s="242"/>
      <c r="AA39" s="242"/>
      <c r="AB39" s="242"/>
    </row>
    <row r="40" spans="2:29" ht="101.25" customHeight="1" x14ac:dyDescent="0.35">
      <c r="B40" s="370" t="s">
        <v>574</v>
      </c>
      <c r="C40" s="207" t="s">
        <v>485</v>
      </c>
      <c r="D40" s="250">
        <v>3097.57</v>
      </c>
      <c r="E40" s="250">
        <v>565.12999999999988</v>
      </c>
      <c r="F40" s="250">
        <v>3069.3339999999994</v>
      </c>
      <c r="G40" s="250"/>
      <c r="H40" s="250">
        <v>366.48399999999998</v>
      </c>
      <c r="I40" s="250">
        <v>366.48399999999998</v>
      </c>
      <c r="J40" s="250">
        <v>6732.0339999999997</v>
      </c>
      <c r="K40" s="250">
        <v>1812.672</v>
      </c>
      <c r="L40" s="351">
        <v>432</v>
      </c>
      <c r="M40" s="250" t="s">
        <v>387</v>
      </c>
      <c r="N40" s="235" t="s">
        <v>365</v>
      </c>
      <c r="O40" s="211">
        <v>31845</v>
      </c>
      <c r="P40" s="238"/>
      <c r="Q40" s="235">
        <v>1734</v>
      </c>
      <c r="R40" s="252">
        <v>10</v>
      </c>
      <c r="S40" s="352"/>
      <c r="T40" s="251" t="s">
        <v>511</v>
      </c>
      <c r="U40" s="251">
        <v>2</v>
      </c>
      <c r="V40" s="353"/>
      <c r="W40" s="242"/>
      <c r="X40" s="242"/>
      <c r="Y40" s="242"/>
      <c r="Z40" s="242"/>
      <c r="AA40" s="242"/>
      <c r="AB40" s="242"/>
    </row>
    <row r="41" spans="2:29" ht="101.25" customHeight="1" x14ac:dyDescent="0.35">
      <c r="B41" s="370" t="s">
        <v>574</v>
      </c>
      <c r="C41" s="207" t="s">
        <v>485</v>
      </c>
      <c r="D41" s="250">
        <v>1713.2079999999999</v>
      </c>
      <c r="E41" s="250">
        <v>37.150999999999996</v>
      </c>
      <c r="F41" s="250">
        <v>4162.7039999999997</v>
      </c>
      <c r="G41" s="250"/>
      <c r="H41" s="250">
        <v>417.33800000000002</v>
      </c>
      <c r="I41" s="250">
        <v>417.33800000000002</v>
      </c>
      <c r="J41" s="250">
        <v>5913.0630000000001</v>
      </c>
      <c r="K41" s="250">
        <v>1812.672</v>
      </c>
      <c r="L41" s="351">
        <v>0</v>
      </c>
      <c r="M41" s="250" t="s">
        <v>391</v>
      </c>
      <c r="N41" s="235" t="s">
        <v>365</v>
      </c>
      <c r="O41" s="211">
        <v>35977</v>
      </c>
      <c r="P41" s="238"/>
      <c r="Q41" s="235">
        <v>1734</v>
      </c>
      <c r="R41" s="252">
        <v>5</v>
      </c>
      <c r="S41" s="352"/>
      <c r="T41" s="251" t="s">
        <v>512</v>
      </c>
      <c r="U41" s="251">
        <v>1</v>
      </c>
      <c r="V41" s="353"/>
      <c r="W41" s="242"/>
      <c r="X41" s="242"/>
      <c r="Y41" s="242"/>
      <c r="Z41" s="242"/>
      <c r="AA41" s="242"/>
      <c r="AB41" s="242"/>
    </row>
    <row r="42" spans="2:29" ht="101.25" customHeight="1" x14ac:dyDescent="0.35">
      <c r="B42" s="370" t="s">
        <v>574</v>
      </c>
      <c r="C42" s="207" t="s">
        <v>485</v>
      </c>
      <c r="D42" s="250">
        <v>2606.982</v>
      </c>
      <c r="E42" s="250">
        <v>473.12299999999993</v>
      </c>
      <c r="F42" s="250">
        <v>2571.4499999999998</v>
      </c>
      <c r="G42" s="250"/>
      <c r="H42" s="250">
        <v>368.38800000000003</v>
      </c>
      <c r="I42" s="250">
        <v>368.38800000000003</v>
      </c>
      <c r="J42" s="250">
        <v>5651.5550000000003</v>
      </c>
      <c r="K42" s="250">
        <v>1657.09824</v>
      </c>
      <c r="L42" s="351">
        <v>240</v>
      </c>
      <c r="M42" s="250" t="s">
        <v>387</v>
      </c>
      <c r="N42" s="235" t="s">
        <v>365</v>
      </c>
      <c r="O42" s="211">
        <v>33493</v>
      </c>
      <c r="P42" s="238"/>
      <c r="Q42" s="235">
        <v>1734</v>
      </c>
      <c r="R42" s="252">
        <v>10</v>
      </c>
      <c r="S42" s="352"/>
      <c r="T42" s="251" t="s">
        <v>513</v>
      </c>
      <c r="U42" s="251">
        <v>8</v>
      </c>
      <c r="V42" s="353"/>
      <c r="W42" s="242"/>
      <c r="X42" s="242"/>
      <c r="Y42" s="242"/>
      <c r="Z42" s="242"/>
      <c r="AA42" s="242"/>
      <c r="AB42" s="242"/>
    </row>
    <row r="43" spans="2:29" ht="101.25" customHeight="1" x14ac:dyDescent="0.35">
      <c r="B43" s="370" t="s">
        <v>574</v>
      </c>
      <c r="C43" s="207" t="s">
        <v>485</v>
      </c>
      <c r="D43" s="250">
        <v>2118.288</v>
      </c>
      <c r="E43" s="250">
        <v>215.75200000000001</v>
      </c>
      <c r="F43" s="250">
        <v>0</v>
      </c>
      <c r="G43" s="250"/>
      <c r="H43" s="250">
        <v>150.29400000000001</v>
      </c>
      <c r="I43" s="250">
        <v>150.29400000000001</v>
      </c>
      <c r="J43" s="250">
        <v>2334.04</v>
      </c>
      <c r="K43" s="250">
        <v>677.85216000000003</v>
      </c>
      <c r="L43" s="351">
        <v>0</v>
      </c>
      <c r="M43" s="250" t="s">
        <v>390</v>
      </c>
      <c r="N43" s="235" t="s">
        <v>365</v>
      </c>
      <c r="O43" s="211">
        <v>42401</v>
      </c>
      <c r="P43" s="238"/>
      <c r="Q43" s="235">
        <v>1734</v>
      </c>
      <c r="R43" s="252">
        <v>10</v>
      </c>
      <c r="S43" s="352"/>
      <c r="T43" s="251" t="s">
        <v>514</v>
      </c>
      <c r="U43" s="251">
        <v>4</v>
      </c>
      <c r="V43" s="353"/>
      <c r="W43" s="242"/>
      <c r="X43" s="242"/>
      <c r="Y43" s="242"/>
      <c r="Z43" s="242"/>
      <c r="AA43" s="242"/>
      <c r="AB43" s="242"/>
    </row>
    <row r="44" spans="2:29" ht="101.25" customHeight="1" x14ac:dyDescent="0.35">
      <c r="B44" s="370" t="s">
        <v>574</v>
      </c>
      <c r="C44" s="207" t="s">
        <v>485</v>
      </c>
      <c r="D44" s="250">
        <v>3013.0940000000001</v>
      </c>
      <c r="E44" s="250">
        <v>117.37100000000001</v>
      </c>
      <c r="F44" s="250">
        <v>1091.7759999999994</v>
      </c>
      <c r="G44" s="250"/>
      <c r="H44" s="250">
        <v>289.33499999999998</v>
      </c>
      <c r="I44" s="250">
        <v>289.33499999999998</v>
      </c>
      <c r="J44" s="250">
        <v>4222.241</v>
      </c>
      <c r="K44" s="250">
        <v>1313.5583999999999</v>
      </c>
      <c r="L44" s="351">
        <v>0</v>
      </c>
      <c r="M44" s="250" t="s">
        <v>387</v>
      </c>
      <c r="N44" s="235" t="s">
        <v>365</v>
      </c>
      <c r="O44" s="211">
        <v>42509</v>
      </c>
      <c r="P44" s="238"/>
      <c r="Q44" s="235">
        <v>1734</v>
      </c>
      <c r="R44" s="252">
        <v>10</v>
      </c>
      <c r="S44" s="352"/>
      <c r="T44" s="251" t="s">
        <v>515</v>
      </c>
      <c r="U44" s="251">
        <v>7</v>
      </c>
      <c r="V44" s="353"/>
      <c r="W44" s="242"/>
      <c r="X44" s="242"/>
      <c r="Y44" s="242"/>
      <c r="Z44" s="242"/>
      <c r="AA44" s="242"/>
      <c r="AB44" s="242"/>
    </row>
    <row r="45" spans="2:29" ht="101.25" customHeight="1" x14ac:dyDescent="0.35">
      <c r="B45" s="370" t="s">
        <v>574</v>
      </c>
      <c r="C45" s="207" t="s">
        <v>485</v>
      </c>
      <c r="D45" s="250">
        <v>3247</v>
      </c>
      <c r="E45" s="250">
        <v>204.42800000000003</v>
      </c>
      <c r="F45" s="250">
        <v>993.11800000000005</v>
      </c>
      <c r="G45" s="250"/>
      <c r="H45" s="250">
        <v>300.84100000000001</v>
      </c>
      <c r="I45" s="250">
        <v>300.84100000000001</v>
      </c>
      <c r="J45" s="250">
        <v>4444.5460000000003</v>
      </c>
      <c r="K45" s="250">
        <v>1356.8377599999999</v>
      </c>
      <c r="L45" s="351">
        <v>0</v>
      </c>
      <c r="M45" s="250" t="s">
        <v>387</v>
      </c>
      <c r="N45" s="235" t="s">
        <v>365</v>
      </c>
      <c r="O45" s="211">
        <v>42522</v>
      </c>
      <c r="P45" s="238"/>
      <c r="Q45" s="235">
        <v>1734</v>
      </c>
      <c r="R45" s="252">
        <v>10</v>
      </c>
      <c r="S45" s="352"/>
      <c r="T45" s="251" t="s">
        <v>516</v>
      </c>
      <c r="U45" s="251">
        <v>1</v>
      </c>
      <c r="V45" s="353"/>
      <c r="W45" s="242"/>
      <c r="X45" s="242"/>
      <c r="Y45" s="242"/>
      <c r="Z45" s="242"/>
      <c r="AA45" s="242"/>
      <c r="AB45" s="242"/>
    </row>
    <row r="46" spans="2:29" ht="101.25" customHeight="1" x14ac:dyDescent="0.35">
      <c r="B46" s="370" t="s">
        <v>574</v>
      </c>
      <c r="C46" s="207" t="s">
        <v>485</v>
      </c>
      <c r="D46" s="250">
        <v>2230.2219999999998</v>
      </c>
      <c r="E46" s="250">
        <v>225.20100000000002</v>
      </c>
      <c r="F46" s="250">
        <v>429.92600000000022</v>
      </c>
      <c r="G46" s="250"/>
      <c r="H46" s="250">
        <v>186.48600000000002</v>
      </c>
      <c r="I46" s="250">
        <v>186.48600000000002</v>
      </c>
      <c r="J46" s="250">
        <v>2885.3489999999997</v>
      </c>
      <c r="K46" s="250">
        <v>851.24735999999996</v>
      </c>
      <c r="L46" s="351">
        <v>0</v>
      </c>
      <c r="M46" s="250" t="s">
        <v>387</v>
      </c>
      <c r="N46" s="235" t="s">
        <v>365</v>
      </c>
      <c r="O46" s="211">
        <v>44503</v>
      </c>
      <c r="P46" s="238"/>
      <c r="Q46" s="235">
        <v>1734</v>
      </c>
      <c r="R46" s="252">
        <v>10</v>
      </c>
      <c r="S46" s="352"/>
      <c r="T46" s="251" t="s">
        <v>509</v>
      </c>
      <c r="U46" s="251">
        <v>8</v>
      </c>
      <c r="V46" s="353"/>
      <c r="W46" s="242"/>
      <c r="X46" s="242"/>
      <c r="Y46" s="242"/>
      <c r="Z46" s="242"/>
      <c r="AA46" s="242"/>
      <c r="AB46" s="242"/>
    </row>
    <row r="47" spans="2:29" x14ac:dyDescent="0.35">
      <c r="B47" s="371"/>
      <c r="C47" s="126"/>
      <c r="D47" s="126"/>
      <c r="E47" s="126"/>
      <c r="F47" s="126"/>
      <c r="G47" s="126"/>
      <c r="H47" s="126"/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126"/>
      <c r="T47" s="126"/>
      <c r="U47" s="126"/>
      <c r="V47" s="126"/>
      <c r="W47" s="126"/>
      <c r="X47" s="126"/>
      <c r="Y47" s="126"/>
      <c r="Z47" s="126"/>
      <c r="AA47" s="126"/>
      <c r="AB47" s="126"/>
      <c r="AC47" s="126"/>
    </row>
    <row r="48" spans="2:29" x14ac:dyDescent="0.35">
      <c r="B48" s="371"/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126"/>
      <c r="P48" s="126"/>
      <c r="Q48" s="126"/>
      <c r="R48" s="126"/>
      <c r="S48" s="126"/>
      <c r="T48" s="126"/>
      <c r="U48" s="126"/>
      <c r="V48" s="126"/>
      <c r="W48" s="126"/>
      <c r="X48" s="126"/>
      <c r="Y48" s="126"/>
      <c r="Z48" s="126"/>
      <c r="AA48" s="126"/>
      <c r="AB48" s="126"/>
      <c r="AC48" s="126"/>
    </row>
    <row r="49" spans="1:29" ht="19" thickBot="1" x14ac:dyDescent="0.4">
      <c r="B49" s="373" t="s">
        <v>17</v>
      </c>
      <c r="C49" s="372"/>
      <c r="D49" s="126"/>
      <c r="E49" s="126"/>
      <c r="F49" s="126"/>
      <c r="G49" s="126"/>
      <c r="H49" s="126"/>
      <c r="I49" s="126"/>
      <c r="J49" s="126"/>
      <c r="K49" s="126"/>
      <c r="L49" s="126"/>
      <c r="M49" s="126"/>
      <c r="N49" s="126"/>
      <c r="O49" s="126"/>
      <c r="P49" s="126"/>
      <c r="Q49" s="126"/>
      <c r="R49" s="126"/>
      <c r="S49" s="126"/>
      <c r="T49" s="126"/>
      <c r="U49" s="126"/>
      <c r="V49" s="126"/>
      <c r="W49" s="126"/>
      <c r="X49" s="126"/>
      <c r="Y49" s="126"/>
      <c r="Z49" s="126"/>
      <c r="AA49" s="126"/>
      <c r="AB49" s="126"/>
    </row>
    <row r="50" spans="1:29" ht="33.75" customHeight="1" x14ac:dyDescent="0.35">
      <c r="B50" s="19" t="s">
        <v>344</v>
      </c>
      <c r="C50" s="19" t="s">
        <v>2</v>
      </c>
      <c r="D50" s="19" t="s">
        <v>21</v>
      </c>
      <c r="E50" s="19" t="s">
        <v>1</v>
      </c>
      <c r="F50" s="19" t="s">
        <v>22</v>
      </c>
      <c r="G50" s="19" t="s">
        <v>14</v>
      </c>
      <c r="H50" s="19" t="s">
        <v>18</v>
      </c>
      <c r="I50" s="19" t="s">
        <v>15</v>
      </c>
      <c r="J50" s="19" t="s">
        <v>10</v>
      </c>
      <c r="K50" s="19" t="s">
        <v>23</v>
      </c>
      <c r="L50" s="19" t="s">
        <v>16</v>
      </c>
      <c r="M50" s="19" t="s">
        <v>3</v>
      </c>
      <c r="N50" s="19" t="s">
        <v>11</v>
      </c>
      <c r="O50" s="19" t="s">
        <v>4</v>
      </c>
      <c r="P50" s="19" t="s">
        <v>5</v>
      </c>
      <c r="Q50" s="19" t="s">
        <v>24</v>
      </c>
      <c r="R50" s="19" t="s">
        <v>25</v>
      </c>
      <c r="S50" s="19" t="s">
        <v>26</v>
      </c>
      <c r="T50" s="19" t="s">
        <v>27</v>
      </c>
      <c r="U50" s="19" t="s">
        <v>6</v>
      </c>
      <c r="V50" s="19" t="s">
        <v>7</v>
      </c>
      <c r="W50" s="19" t="s">
        <v>28</v>
      </c>
      <c r="X50" s="19" t="s">
        <v>29</v>
      </c>
      <c r="Y50" s="19" t="s">
        <v>30</v>
      </c>
      <c r="Z50" s="19" t="s">
        <v>31</v>
      </c>
      <c r="AA50" s="57" t="s">
        <v>8</v>
      </c>
      <c r="AB50" s="57" t="s">
        <v>9</v>
      </c>
    </row>
    <row r="51" spans="1:29" s="208" customFormat="1" ht="36" x14ac:dyDescent="0.35">
      <c r="A51" s="355"/>
      <c r="B51" s="154"/>
      <c r="C51" s="207" t="s">
        <v>485</v>
      </c>
      <c r="D51" s="167">
        <v>0</v>
      </c>
      <c r="E51" s="167">
        <v>0</v>
      </c>
      <c r="F51" s="167">
        <v>0</v>
      </c>
      <c r="G51" s="167"/>
      <c r="H51" s="167">
        <v>0</v>
      </c>
      <c r="I51" s="167">
        <v>0</v>
      </c>
      <c r="J51" s="167">
        <v>0</v>
      </c>
      <c r="K51" s="167">
        <v>0</v>
      </c>
      <c r="L51" s="360">
        <v>0</v>
      </c>
      <c r="M51" s="167" t="s">
        <v>390</v>
      </c>
      <c r="N51" s="193" t="s">
        <v>365</v>
      </c>
      <c r="O51" s="169">
        <v>40309</v>
      </c>
      <c r="P51" s="169"/>
      <c r="Q51" s="154">
        <v>1734</v>
      </c>
      <c r="R51" s="154">
        <v>100</v>
      </c>
      <c r="S51" s="169"/>
      <c r="T51" s="170" t="s">
        <v>487</v>
      </c>
      <c r="U51" s="170">
        <v>4</v>
      </c>
      <c r="V51" s="361"/>
      <c r="W51" s="162"/>
      <c r="X51" s="162"/>
      <c r="Y51" s="162"/>
      <c r="Z51" s="162"/>
      <c r="AA51" s="162"/>
      <c r="AB51" s="162"/>
    </row>
    <row r="52" spans="1:29" s="208" customFormat="1" ht="36" x14ac:dyDescent="0.35">
      <c r="A52" s="355"/>
      <c r="B52" s="154"/>
      <c r="C52" s="207" t="s">
        <v>485</v>
      </c>
      <c r="D52" s="167">
        <v>0</v>
      </c>
      <c r="E52" s="167">
        <v>0</v>
      </c>
      <c r="F52" s="167">
        <v>0</v>
      </c>
      <c r="G52" s="167"/>
      <c r="H52" s="167">
        <v>0</v>
      </c>
      <c r="I52" s="167">
        <v>0</v>
      </c>
      <c r="J52" s="167">
        <v>0</v>
      </c>
      <c r="K52" s="167">
        <v>0</v>
      </c>
      <c r="L52" s="360">
        <v>0</v>
      </c>
      <c r="M52" s="167" t="s">
        <v>391</v>
      </c>
      <c r="N52" s="193" t="s">
        <v>365</v>
      </c>
      <c r="O52" s="169">
        <v>42542</v>
      </c>
      <c r="P52" s="169"/>
      <c r="Q52" s="154">
        <v>1734</v>
      </c>
      <c r="R52" s="154">
        <v>50</v>
      </c>
      <c r="S52" s="169"/>
      <c r="T52" s="170" t="s">
        <v>486</v>
      </c>
      <c r="U52" s="170">
        <v>2</v>
      </c>
      <c r="V52" s="361"/>
      <c r="W52" s="162"/>
      <c r="X52" s="162"/>
      <c r="Y52" s="162"/>
      <c r="Z52" s="162"/>
      <c r="AA52" s="162"/>
      <c r="AB52" s="162"/>
    </row>
    <row r="53" spans="1:29" x14ac:dyDescent="0.35">
      <c r="B53" s="4"/>
      <c r="C53" s="35"/>
      <c r="D53" s="307"/>
      <c r="E53" s="307"/>
      <c r="F53" s="307"/>
      <c r="G53" s="307"/>
      <c r="H53" s="307"/>
      <c r="I53" s="307"/>
      <c r="J53" s="307"/>
      <c r="K53" s="307"/>
      <c r="L53" s="4"/>
      <c r="M53" s="4"/>
      <c r="N53" s="4"/>
      <c r="O53" s="325"/>
      <c r="P53" s="7"/>
      <c r="Q53" s="4"/>
      <c r="R53" s="4"/>
      <c r="S53" s="4"/>
      <c r="T53" s="7"/>
      <c r="U53" s="7"/>
      <c r="V53" s="293"/>
      <c r="W53" s="36"/>
      <c r="X53" s="36" t="s">
        <v>0</v>
      </c>
      <c r="Y53" s="36"/>
      <c r="Z53" s="36"/>
      <c r="AA53" s="36"/>
      <c r="AB53" s="36"/>
    </row>
    <row r="54" spans="1:29" x14ac:dyDescent="0.35">
      <c r="B54" s="4"/>
      <c r="C54" s="31"/>
      <c r="D54" s="307"/>
      <c r="E54" s="307"/>
      <c r="F54" s="307"/>
      <c r="G54" s="307"/>
      <c r="H54" s="307"/>
      <c r="I54" s="307"/>
      <c r="J54" s="307"/>
      <c r="K54" s="307"/>
      <c r="L54" s="4"/>
      <c r="M54" s="4"/>
      <c r="N54" s="4"/>
      <c r="O54" s="325"/>
      <c r="P54" s="7"/>
      <c r="Q54" s="4"/>
      <c r="R54" s="4"/>
      <c r="S54" s="4"/>
      <c r="T54" s="7"/>
      <c r="U54" s="7"/>
      <c r="V54" s="293"/>
      <c r="W54" s="36"/>
      <c r="X54" s="36"/>
      <c r="Y54" s="36"/>
      <c r="Z54" s="36"/>
      <c r="AA54" s="36"/>
      <c r="AB54" s="36"/>
    </row>
    <row r="55" spans="1:29" x14ac:dyDescent="0.35">
      <c r="B55" s="4"/>
      <c r="C55" s="31"/>
      <c r="D55" s="307"/>
      <c r="E55" s="307"/>
      <c r="F55" s="307"/>
      <c r="G55" s="307"/>
      <c r="H55" s="307"/>
      <c r="I55" s="307"/>
      <c r="J55" s="307"/>
      <c r="K55" s="307"/>
      <c r="L55" s="4"/>
      <c r="M55" s="4"/>
      <c r="N55" s="4"/>
      <c r="O55" s="325"/>
      <c r="P55" s="7"/>
      <c r="Q55" s="4"/>
      <c r="R55" s="4"/>
      <c r="S55" s="4"/>
      <c r="T55" s="7"/>
      <c r="U55" s="7"/>
      <c r="V55" s="293"/>
      <c r="W55" s="36"/>
      <c r="X55" s="36"/>
      <c r="Y55" s="36"/>
      <c r="Z55" s="36"/>
      <c r="AA55" s="36"/>
      <c r="AB55" s="36"/>
    </row>
    <row r="56" spans="1:29" x14ac:dyDescent="0.35">
      <c r="B56" s="11"/>
      <c r="C56" s="31"/>
      <c r="D56" s="316"/>
      <c r="E56" s="316"/>
      <c r="F56" s="316"/>
      <c r="G56" s="316"/>
      <c r="H56" s="316"/>
      <c r="I56" s="316"/>
      <c r="J56" s="316"/>
      <c r="K56" s="316"/>
      <c r="L56" s="11"/>
      <c r="M56" s="11"/>
      <c r="N56" s="11"/>
      <c r="O56" s="357"/>
      <c r="P56" s="13"/>
      <c r="Q56" s="11"/>
      <c r="R56" s="11"/>
      <c r="S56" s="11"/>
      <c r="T56" s="13"/>
      <c r="U56" s="13"/>
      <c r="V56" s="142"/>
      <c r="W56" s="39"/>
      <c r="X56" s="39"/>
      <c r="Y56" s="39"/>
      <c r="Z56" s="39"/>
      <c r="AA56" s="39"/>
      <c r="AB56" s="39"/>
    </row>
    <row r="57" spans="1:29" x14ac:dyDescent="0.35">
      <c r="B57" s="11"/>
      <c r="C57" s="31"/>
      <c r="D57" s="316"/>
      <c r="E57" s="316"/>
      <c r="F57" s="316"/>
      <c r="G57" s="316"/>
      <c r="H57" s="316"/>
      <c r="I57" s="316"/>
      <c r="J57" s="316"/>
      <c r="K57" s="316"/>
      <c r="L57" s="11"/>
      <c r="M57" s="11"/>
      <c r="N57" s="11"/>
      <c r="O57" s="357"/>
      <c r="P57" s="13"/>
      <c r="Q57" s="11"/>
      <c r="R57" s="11"/>
      <c r="S57" s="11"/>
      <c r="T57" s="13"/>
      <c r="U57" s="13"/>
      <c r="V57" s="203"/>
      <c r="W57" s="39"/>
      <c r="X57" s="39"/>
      <c r="Y57" s="39"/>
      <c r="Z57" s="39"/>
      <c r="AA57" s="39"/>
      <c r="AB57" s="39"/>
    </row>
    <row r="58" spans="1:29" x14ac:dyDescent="0.35">
      <c r="B58" s="11"/>
      <c r="C58" s="31"/>
      <c r="D58" s="316"/>
      <c r="E58" s="316"/>
      <c r="F58" s="316"/>
      <c r="G58" s="316"/>
      <c r="H58" s="316"/>
      <c r="I58" s="316"/>
      <c r="J58" s="316"/>
      <c r="K58" s="316"/>
      <c r="L58" s="11"/>
      <c r="M58" s="11"/>
      <c r="N58" s="11"/>
      <c r="O58" s="357"/>
      <c r="P58" s="13"/>
      <c r="Q58" s="11"/>
      <c r="R58" s="11"/>
      <c r="S58" s="11"/>
      <c r="T58" s="13"/>
      <c r="U58" s="13"/>
      <c r="V58" s="203"/>
      <c r="W58" s="39"/>
      <c r="X58" s="39"/>
      <c r="Y58" s="39"/>
      <c r="Z58" s="39"/>
      <c r="AA58" s="39"/>
      <c r="AB58" s="39"/>
    </row>
    <row r="59" spans="1:29" x14ac:dyDescent="0.35">
      <c r="B59" s="127"/>
      <c r="C59" s="127"/>
      <c r="D59" s="128"/>
      <c r="E59" s="129"/>
      <c r="F59" s="129"/>
      <c r="G59" s="129"/>
      <c r="H59" s="129"/>
      <c r="I59" s="129"/>
      <c r="J59" s="129"/>
      <c r="K59" s="129"/>
      <c r="L59" s="129"/>
      <c r="M59" s="127"/>
      <c r="N59" s="127"/>
      <c r="O59" s="127"/>
      <c r="P59" s="130"/>
      <c r="Q59" s="131"/>
      <c r="R59" s="132"/>
      <c r="S59" s="132"/>
      <c r="T59" s="132"/>
      <c r="U59" s="133"/>
      <c r="V59" s="133"/>
      <c r="W59" s="134"/>
      <c r="X59" s="126"/>
      <c r="Y59" s="126"/>
      <c r="Z59" s="126"/>
      <c r="AA59" s="126"/>
      <c r="AB59" s="126"/>
      <c r="AC59" s="126"/>
    </row>
    <row r="60" spans="1:29" x14ac:dyDescent="0.35">
      <c r="B60" s="127"/>
      <c r="C60" s="127"/>
      <c r="D60" s="128"/>
      <c r="E60" s="129"/>
      <c r="F60" s="129"/>
      <c r="G60" s="129"/>
      <c r="H60" s="129"/>
      <c r="I60" s="129"/>
      <c r="J60" s="129"/>
      <c r="K60" s="129"/>
      <c r="L60" s="129"/>
      <c r="M60" s="127"/>
      <c r="N60" s="127"/>
      <c r="O60" s="127"/>
      <c r="P60" s="130"/>
      <c r="Q60" s="131"/>
      <c r="R60" s="132"/>
      <c r="S60" s="132"/>
      <c r="T60" s="132"/>
      <c r="U60" s="133"/>
      <c r="V60" s="133"/>
      <c r="W60" s="134"/>
      <c r="X60" s="126"/>
      <c r="Y60" s="126"/>
      <c r="Z60" s="126"/>
      <c r="AA60" s="126"/>
      <c r="AB60" s="126"/>
      <c r="AC60" s="126"/>
    </row>
    <row r="61" spans="1:29" x14ac:dyDescent="0.35">
      <c r="B61" s="135"/>
      <c r="C61" s="135"/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  <c r="Q61" s="135"/>
    </row>
  </sheetData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C53"/>
  <sheetViews>
    <sheetView zoomScaleNormal="100" workbookViewId="0">
      <pane xSplit="2" ySplit="9" topLeftCell="L40" activePane="bottomRight" state="frozen"/>
      <selection activeCell="L5" sqref="L5"/>
      <selection pane="topRight" activeCell="L5" sqref="L5"/>
      <selection pane="bottomLeft" activeCell="L5" sqref="L5"/>
      <selection pane="bottomRight" activeCell="B2" sqref="B2:AB50"/>
    </sheetView>
  </sheetViews>
  <sheetFormatPr defaultColWidth="11.453125" defaultRowHeight="14.5" x14ac:dyDescent="0.35"/>
  <cols>
    <col min="1" max="1" width="5.54296875" customWidth="1"/>
    <col min="2" max="2" width="29.7265625" customWidth="1"/>
    <col min="3" max="3" width="19.54296875" customWidth="1"/>
    <col min="4" max="30" width="12.1796875" customWidth="1"/>
  </cols>
  <sheetData>
    <row r="2" spans="2:28" ht="18.5" x14ac:dyDescent="0.45">
      <c r="B2" s="18" t="s">
        <v>13</v>
      </c>
      <c r="C2" s="1"/>
    </row>
    <row r="3" spans="2:28" x14ac:dyDescent="0.35">
      <c r="B3" s="23"/>
      <c r="C3" s="23"/>
      <c r="F3" s="23"/>
      <c r="G3" s="208"/>
      <c r="Q3" s="23"/>
      <c r="R3" s="23"/>
      <c r="S3" s="23"/>
    </row>
    <row r="4" spans="2:28" ht="15.5" x14ac:dyDescent="0.35">
      <c r="B4" s="62" t="s">
        <v>12</v>
      </c>
      <c r="C4" s="144" t="s">
        <v>481</v>
      </c>
      <c r="D4" s="145"/>
      <c r="E4" s="146"/>
      <c r="G4" s="208"/>
      <c r="Q4" s="23"/>
      <c r="R4" s="23"/>
      <c r="S4" s="23"/>
    </row>
    <row r="5" spans="2:28" ht="15.5" x14ac:dyDescent="0.35">
      <c r="B5" s="62" t="s">
        <v>20</v>
      </c>
      <c r="C5" s="144" t="s">
        <v>568</v>
      </c>
      <c r="D5" s="145"/>
      <c r="E5" s="147"/>
      <c r="Q5" s="23"/>
      <c r="R5" s="23"/>
      <c r="S5" s="23"/>
    </row>
    <row r="6" spans="2:28" ht="15.5" x14ac:dyDescent="0.35">
      <c r="B6" s="64" t="s">
        <v>19</v>
      </c>
      <c r="C6" s="144" t="s">
        <v>575</v>
      </c>
      <c r="D6" s="145"/>
      <c r="E6" s="147"/>
      <c r="Q6" s="23"/>
      <c r="R6" s="23"/>
      <c r="S6" s="23"/>
    </row>
    <row r="7" spans="2:28" ht="15.5" x14ac:dyDescent="0.35">
      <c r="B7" s="62" t="s">
        <v>32</v>
      </c>
      <c r="C7" s="148" t="s">
        <v>484</v>
      </c>
      <c r="D7" s="103"/>
      <c r="E7" s="149"/>
    </row>
    <row r="8" spans="2:28" ht="16" thickBot="1" x14ac:dyDescent="0.4">
      <c r="B8" s="70"/>
      <c r="C8" s="103"/>
      <c r="D8" s="103"/>
    </row>
    <row r="9" spans="2:28" ht="52.5" x14ac:dyDescent="0.35">
      <c r="B9" s="19" t="s">
        <v>344</v>
      </c>
      <c r="C9" s="19" t="s">
        <v>2</v>
      </c>
      <c r="D9" s="19" t="s">
        <v>21</v>
      </c>
      <c r="E9" s="19" t="s">
        <v>1</v>
      </c>
      <c r="F9" s="19" t="s">
        <v>22</v>
      </c>
      <c r="G9" s="19" t="s">
        <v>14</v>
      </c>
      <c r="H9" s="19" t="s">
        <v>18</v>
      </c>
      <c r="I9" s="19" t="s">
        <v>15</v>
      </c>
      <c r="J9" s="19" t="s">
        <v>10</v>
      </c>
      <c r="K9" s="19" t="s">
        <v>23</v>
      </c>
      <c r="L9" s="19" t="s">
        <v>16</v>
      </c>
      <c r="M9" s="19" t="s">
        <v>3</v>
      </c>
      <c r="N9" s="19" t="s">
        <v>11</v>
      </c>
      <c r="O9" s="19" t="s">
        <v>4</v>
      </c>
      <c r="P9" s="19" t="s">
        <v>5</v>
      </c>
      <c r="Q9" s="19" t="s">
        <v>24</v>
      </c>
      <c r="R9" s="19" t="s">
        <v>25</v>
      </c>
      <c r="S9" s="19" t="s">
        <v>26</v>
      </c>
      <c r="T9" s="19" t="s">
        <v>27</v>
      </c>
      <c r="U9" s="19" t="s">
        <v>6</v>
      </c>
      <c r="V9" s="19" t="s">
        <v>7</v>
      </c>
      <c r="W9" s="19" t="s">
        <v>28</v>
      </c>
      <c r="X9" s="19" t="s">
        <v>29</v>
      </c>
      <c r="Y9" s="19" t="s">
        <v>30</v>
      </c>
      <c r="Z9" s="19" t="s">
        <v>31</v>
      </c>
      <c r="AA9" s="57" t="s">
        <v>8</v>
      </c>
      <c r="AB9" s="57" t="s">
        <v>9</v>
      </c>
    </row>
    <row r="10" spans="2:28" ht="24" x14ac:dyDescent="0.35">
      <c r="B10" s="225"/>
      <c r="C10" s="207" t="s">
        <v>485</v>
      </c>
      <c r="D10" s="374">
        <v>29588.62</v>
      </c>
      <c r="E10" s="374">
        <v>6254.7699999999995</v>
      </c>
      <c r="F10" s="374">
        <v>6628.4399999999987</v>
      </c>
      <c r="G10" s="374"/>
      <c r="H10" s="374">
        <v>2576.81</v>
      </c>
      <c r="I10" s="374">
        <v>2576.81</v>
      </c>
      <c r="J10" s="374">
        <v>42471.829999999994</v>
      </c>
      <c r="K10" s="374">
        <v>11589.459199999999</v>
      </c>
      <c r="L10" s="228">
        <v>0</v>
      </c>
      <c r="M10" s="225" t="s">
        <v>390</v>
      </c>
      <c r="N10" s="225" t="s">
        <v>365</v>
      </c>
      <c r="O10" s="375">
        <v>39251</v>
      </c>
      <c r="P10" s="211"/>
      <c r="Q10" s="225">
        <v>1734</v>
      </c>
      <c r="R10" s="225">
        <v>100</v>
      </c>
      <c r="S10" s="211"/>
      <c r="T10" s="376" t="s">
        <v>486</v>
      </c>
      <c r="U10" s="376">
        <v>2</v>
      </c>
      <c r="V10" s="377"/>
      <c r="W10" s="234"/>
      <c r="X10" s="234" t="s">
        <v>0</v>
      </c>
      <c r="Y10" s="234"/>
      <c r="Z10" s="234"/>
      <c r="AA10" s="234"/>
      <c r="AB10" s="234"/>
    </row>
    <row r="11" spans="2:28" ht="24" x14ac:dyDescent="0.35">
      <c r="B11" s="235"/>
      <c r="C11" s="207" t="s">
        <v>485</v>
      </c>
      <c r="D11" s="250">
        <v>29588.62</v>
      </c>
      <c r="E11" s="250">
        <v>2113.4700000000003</v>
      </c>
      <c r="F11" s="250">
        <v>6628.4399999999987</v>
      </c>
      <c r="G11" s="250"/>
      <c r="H11" s="250">
        <v>2576.81</v>
      </c>
      <c r="I11" s="250">
        <v>2576.81</v>
      </c>
      <c r="J11" s="250">
        <v>38330.53</v>
      </c>
      <c r="K11" s="250">
        <v>11589.459199999999</v>
      </c>
      <c r="L11" s="237">
        <v>0</v>
      </c>
      <c r="M11" s="235" t="s">
        <v>387</v>
      </c>
      <c r="N11" s="235" t="s">
        <v>365</v>
      </c>
      <c r="O11" s="211">
        <v>39251</v>
      </c>
      <c r="P11" s="211"/>
      <c r="Q11" s="235">
        <v>1734</v>
      </c>
      <c r="R11" s="235">
        <v>100</v>
      </c>
      <c r="S11" s="211"/>
      <c r="T11" s="251" t="s">
        <v>486</v>
      </c>
      <c r="U11" s="251">
        <v>2</v>
      </c>
      <c r="V11" s="207"/>
      <c r="W11" s="242"/>
      <c r="X11" s="242"/>
      <c r="Y11" s="242"/>
      <c r="Z11" s="242"/>
      <c r="AA11" s="242"/>
      <c r="AB11" s="242"/>
    </row>
    <row r="12" spans="2:28" ht="24" x14ac:dyDescent="0.35">
      <c r="B12" s="235"/>
      <c r="C12" s="207" t="s">
        <v>485</v>
      </c>
      <c r="D12" s="250">
        <v>29663.1</v>
      </c>
      <c r="E12" s="250">
        <v>6241.54</v>
      </c>
      <c r="F12" s="250">
        <v>6628.4400000000023</v>
      </c>
      <c r="G12" s="250"/>
      <c r="H12" s="250">
        <v>2582.13</v>
      </c>
      <c r="I12" s="250">
        <v>2582.13</v>
      </c>
      <c r="J12" s="250">
        <v>42533.08</v>
      </c>
      <c r="K12" s="250">
        <v>11613.292800000001</v>
      </c>
      <c r="L12" s="237">
        <v>0</v>
      </c>
      <c r="M12" s="235" t="s">
        <v>387</v>
      </c>
      <c r="N12" s="235" t="s">
        <v>365</v>
      </c>
      <c r="O12" s="211">
        <v>38597</v>
      </c>
      <c r="P12" s="211"/>
      <c r="Q12" s="235">
        <v>1734</v>
      </c>
      <c r="R12" s="235">
        <v>100</v>
      </c>
      <c r="S12" s="211"/>
      <c r="T12" s="251" t="s">
        <v>486</v>
      </c>
      <c r="U12" s="251">
        <v>2</v>
      </c>
      <c r="V12" s="207"/>
      <c r="W12" s="242"/>
      <c r="X12" s="242"/>
      <c r="Y12" s="242"/>
      <c r="Z12" s="242"/>
      <c r="AA12" s="242"/>
      <c r="AB12" s="242"/>
    </row>
    <row r="13" spans="2:28" ht="24" x14ac:dyDescent="0.35">
      <c r="B13" s="235"/>
      <c r="C13" s="207" t="s">
        <v>485</v>
      </c>
      <c r="D13" s="250">
        <v>29668.94</v>
      </c>
      <c r="E13" s="250">
        <v>6124.54</v>
      </c>
      <c r="F13" s="250">
        <v>11628.48</v>
      </c>
      <c r="G13" s="250"/>
      <c r="H13" s="250">
        <v>2592.6699999999996</v>
      </c>
      <c r="I13" s="250">
        <v>2592.6699999999996</v>
      </c>
      <c r="J13" s="250">
        <v>47421.96</v>
      </c>
      <c r="K13" s="250">
        <v>13215.1744</v>
      </c>
      <c r="L13" s="237">
        <v>3500</v>
      </c>
      <c r="M13" s="235" t="s">
        <v>387</v>
      </c>
      <c r="N13" s="235" t="s">
        <v>365</v>
      </c>
      <c r="O13" s="211">
        <v>38111</v>
      </c>
      <c r="P13" s="211"/>
      <c r="Q13" s="235">
        <v>1734</v>
      </c>
      <c r="R13" s="235">
        <v>100</v>
      </c>
      <c r="S13" s="211"/>
      <c r="T13" s="251" t="s">
        <v>570</v>
      </c>
      <c r="U13" s="251">
        <v>2</v>
      </c>
      <c r="V13" s="207"/>
      <c r="W13" s="242"/>
      <c r="X13" s="242"/>
      <c r="Y13" s="242"/>
      <c r="Z13" s="242"/>
      <c r="AA13" s="242"/>
      <c r="AB13" s="242"/>
    </row>
    <row r="14" spans="2:28" ht="24" x14ac:dyDescent="0.35">
      <c r="B14" s="235"/>
      <c r="C14" s="207" t="s">
        <v>485</v>
      </c>
      <c r="D14" s="250">
        <v>33895.68</v>
      </c>
      <c r="E14" s="250">
        <v>10160.34</v>
      </c>
      <c r="F14" s="250">
        <v>32089.700000000004</v>
      </c>
      <c r="G14" s="250"/>
      <c r="H14" s="250">
        <v>4284.67</v>
      </c>
      <c r="I14" s="250">
        <v>4284.67</v>
      </c>
      <c r="J14" s="250">
        <v>76145.72</v>
      </c>
      <c r="K14" s="250">
        <v>18126.72</v>
      </c>
      <c r="L14" s="237">
        <v>5500</v>
      </c>
      <c r="M14" s="235" t="s">
        <v>387</v>
      </c>
      <c r="N14" s="235" t="s">
        <v>365</v>
      </c>
      <c r="O14" s="211">
        <v>32599</v>
      </c>
      <c r="P14" s="211"/>
      <c r="Q14" s="235">
        <v>1734</v>
      </c>
      <c r="R14" s="235">
        <v>100</v>
      </c>
      <c r="S14" s="211"/>
      <c r="T14" s="251" t="s">
        <v>493</v>
      </c>
      <c r="U14" s="251">
        <v>1</v>
      </c>
      <c r="V14" s="207"/>
      <c r="W14" s="242"/>
      <c r="X14" s="242"/>
      <c r="Y14" s="242"/>
      <c r="Z14" s="242"/>
      <c r="AA14" s="242"/>
      <c r="AB14" s="242"/>
    </row>
    <row r="15" spans="2:28" ht="24" x14ac:dyDescent="0.35">
      <c r="B15" s="235"/>
      <c r="C15" s="207" t="s">
        <v>485</v>
      </c>
      <c r="D15" s="250">
        <v>29299.199999999997</v>
      </c>
      <c r="E15" s="250">
        <v>3819.9900000000007</v>
      </c>
      <c r="F15" s="250">
        <v>6628.4400000000023</v>
      </c>
      <c r="G15" s="250"/>
      <c r="H15" s="250">
        <v>2566.2599999999998</v>
      </c>
      <c r="I15" s="250">
        <v>2566.2599999999998</v>
      </c>
      <c r="J15" s="250">
        <v>39747.629999999997</v>
      </c>
      <c r="K15" s="250">
        <v>11496.844800000001</v>
      </c>
      <c r="L15" s="237">
        <v>0</v>
      </c>
      <c r="M15" s="235" t="s">
        <v>387</v>
      </c>
      <c r="N15" s="235" t="s">
        <v>365</v>
      </c>
      <c r="O15" s="211">
        <v>39889</v>
      </c>
      <c r="P15" s="211"/>
      <c r="Q15" s="235">
        <v>1734</v>
      </c>
      <c r="R15" s="235">
        <v>100</v>
      </c>
      <c r="S15" s="211"/>
      <c r="T15" s="251" t="s">
        <v>486</v>
      </c>
      <c r="U15" s="251">
        <v>2</v>
      </c>
      <c r="V15" s="207"/>
      <c r="W15" s="242"/>
      <c r="X15" s="242"/>
      <c r="Y15" s="242"/>
      <c r="Z15" s="242"/>
      <c r="AA15" s="242"/>
      <c r="AB15" s="242"/>
    </row>
    <row r="16" spans="2:28" ht="24" x14ac:dyDescent="0.35">
      <c r="B16" s="235"/>
      <c r="C16" s="207" t="s">
        <v>485</v>
      </c>
      <c r="D16" s="250">
        <v>30903.599999999999</v>
      </c>
      <c r="E16" s="250">
        <v>6415.7699999999986</v>
      </c>
      <c r="F16" s="250">
        <v>17320.659999999996</v>
      </c>
      <c r="G16" s="250"/>
      <c r="H16" s="250">
        <v>3444.5899999999997</v>
      </c>
      <c r="I16" s="250">
        <v>3444.5899999999997</v>
      </c>
      <c r="J16" s="250">
        <v>54640.029999999992</v>
      </c>
      <c r="K16" s="250">
        <v>15431.763199999999</v>
      </c>
      <c r="L16" s="351">
        <v>1900</v>
      </c>
      <c r="M16" s="250" t="s">
        <v>387</v>
      </c>
      <c r="N16" s="235" t="s">
        <v>365</v>
      </c>
      <c r="O16" s="211">
        <v>43095</v>
      </c>
      <c r="P16" s="211"/>
      <c r="Q16" s="235">
        <v>1734</v>
      </c>
      <c r="R16" s="235">
        <v>100</v>
      </c>
      <c r="S16" s="211"/>
      <c r="T16" s="251" t="s">
        <v>523</v>
      </c>
      <c r="U16" s="251">
        <v>1</v>
      </c>
      <c r="V16" s="353"/>
      <c r="W16" s="242"/>
      <c r="X16" s="242"/>
      <c r="Y16" s="242"/>
      <c r="Z16" s="242"/>
      <c r="AA16" s="242"/>
      <c r="AB16" s="242"/>
    </row>
    <row r="17" spans="2:28" ht="24" x14ac:dyDescent="0.35">
      <c r="B17" s="235"/>
      <c r="C17" s="207" t="s">
        <v>485</v>
      </c>
      <c r="D17" s="250">
        <v>30408.84</v>
      </c>
      <c r="E17" s="250">
        <v>2168.81</v>
      </c>
      <c r="F17" s="250">
        <v>6628.4399999999987</v>
      </c>
      <c r="G17" s="250"/>
      <c r="H17" s="250">
        <v>2645.52</v>
      </c>
      <c r="I17" s="250">
        <v>2645.52</v>
      </c>
      <c r="J17" s="250">
        <v>39206.089999999997</v>
      </c>
      <c r="K17" s="250">
        <v>11851.929599999999</v>
      </c>
      <c r="L17" s="351">
        <v>0</v>
      </c>
      <c r="M17" s="250" t="s">
        <v>387</v>
      </c>
      <c r="N17" s="235" t="s">
        <v>365</v>
      </c>
      <c r="O17" s="211">
        <v>34151</v>
      </c>
      <c r="P17" s="211"/>
      <c r="Q17" s="235">
        <v>1734</v>
      </c>
      <c r="R17" s="235">
        <v>100</v>
      </c>
      <c r="S17" s="211"/>
      <c r="T17" s="251" t="s">
        <v>486</v>
      </c>
      <c r="U17" s="251">
        <v>2</v>
      </c>
      <c r="V17" s="353"/>
      <c r="W17" s="242"/>
      <c r="X17" s="242"/>
      <c r="Y17" s="242"/>
      <c r="Z17" s="242"/>
      <c r="AA17" s="242"/>
      <c r="AB17" s="242"/>
    </row>
    <row r="18" spans="2:28" ht="24" x14ac:dyDescent="0.35">
      <c r="B18" s="235"/>
      <c r="C18" s="207" t="s">
        <v>485</v>
      </c>
      <c r="D18" s="250">
        <v>21982.240000000002</v>
      </c>
      <c r="E18" s="250">
        <v>2129.79</v>
      </c>
      <c r="F18" s="250">
        <v>386.81999999999971</v>
      </c>
      <c r="G18" s="250"/>
      <c r="H18" s="250">
        <v>1597.7900000000002</v>
      </c>
      <c r="I18" s="250">
        <v>1597.7900000000002</v>
      </c>
      <c r="J18" s="250">
        <v>24498.850000000002</v>
      </c>
      <c r="K18" s="250">
        <v>7158.0992000000006</v>
      </c>
      <c r="L18" s="351">
        <v>0</v>
      </c>
      <c r="M18" s="250" t="s">
        <v>387</v>
      </c>
      <c r="N18" s="235" t="s">
        <v>365</v>
      </c>
      <c r="O18" s="211">
        <v>41722</v>
      </c>
      <c r="P18" s="211"/>
      <c r="Q18" s="235">
        <v>1734</v>
      </c>
      <c r="R18" s="235">
        <v>100</v>
      </c>
      <c r="S18" s="211"/>
      <c r="T18" s="251" t="s">
        <v>487</v>
      </c>
      <c r="U18" s="251">
        <v>4</v>
      </c>
      <c r="V18" s="353"/>
      <c r="W18" s="242"/>
      <c r="X18" s="242"/>
      <c r="Y18" s="242"/>
      <c r="Z18" s="242"/>
      <c r="AA18" s="242"/>
      <c r="AB18" s="242"/>
    </row>
    <row r="19" spans="2:28" ht="24" x14ac:dyDescent="0.35">
      <c r="B19" s="235"/>
      <c r="C19" s="207" t="s">
        <v>485</v>
      </c>
      <c r="D19" s="250">
        <v>28800.94</v>
      </c>
      <c r="E19" s="250">
        <v>2679.45</v>
      </c>
      <c r="F19" s="250">
        <v>6628.4399999999987</v>
      </c>
      <c r="G19" s="250"/>
      <c r="H19" s="250">
        <v>2530.6699999999996</v>
      </c>
      <c r="I19" s="250">
        <v>2530.6699999999996</v>
      </c>
      <c r="J19" s="250">
        <v>38108.829999999994</v>
      </c>
      <c r="K19" s="250">
        <v>11337.401599999999</v>
      </c>
      <c r="L19" s="351">
        <v>0</v>
      </c>
      <c r="M19" s="250" t="s">
        <v>387</v>
      </c>
      <c r="N19" s="235" t="s">
        <v>365</v>
      </c>
      <c r="O19" s="211">
        <v>42114</v>
      </c>
      <c r="P19" s="211"/>
      <c r="Q19" s="235">
        <v>1734</v>
      </c>
      <c r="R19" s="235">
        <v>100</v>
      </c>
      <c r="S19" s="211"/>
      <c r="T19" s="251" t="s">
        <v>486</v>
      </c>
      <c r="U19" s="251">
        <v>2</v>
      </c>
      <c r="V19" s="353"/>
      <c r="W19" s="242"/>
      <c r="X19" s="242"/>
      <c r="Y19" s="242"/>
      <c r="Z19" s="242"/>
      <c r="AA19" s="242"/>
      <c r="AB19" s="242"/>
    </row>
    <row r="20" spans="2:28" ht="24" x14ac:dyDescent="0.35">
      <c r="B20" s="235"/>
      <c r="C20" s="207" t="s">
        <v>485</v>
      </c>
      <c r="D20" s="250">
        <v>22069.260000000002</v>
      </c>
      <c r="E20" s="250">
        <v>2076.16</v>
      </c>
      <c r="F20" s="250">
        <v>386.81999999999971</v>
      </c>
      <c r="G20" s="250"/>
      <c r="H20" s="250">
        <v>1583.76</v>
      </c>
      <c r="I20" s="250">
        <v>1583.76</v>
      </c>
      <c r="J20" s="250">
        <v>24532.240000000002</v>
      </c>
      <c r="K20" s="250">
        <v>7185.9456000000009</v>
      </c>
      <c r="L20" s="351">
        <v>0</v>
      </c>
      <c r="M20" s="250" t="s">
        <v>387</v>
      </c>
      <c r="N20" s="235" t="s">
        <v>365</v>
      </c>
      <c r="O20" s="211">
        <v>42453</v>
      </c>
      <c r="P20" s="211"/>
      <c r="Q20" s="235">
        <v>1734</v>
      </c>
      <c r="R20" s="235">
        <v>100</v>
      </c>
      <c r="S20" s="211"/>
      <c r="T20" s="251" t="s">
        <v>487</v>
      </c>
      <c r="U20" s="251">
        <v>4</v>
      </c>
      <c r="V20" s="353"/>
      <c r="W20" s="242"/>
      <c r="X20" s="242"/>
      <c r="Y20" s="242"/>
      <c r="Z20" s="242"/>
      <c r="AA20" s="242"/>
      <c r="AB20" s="242"/>
    </row>
    <row r="21" spans="2:28" ht="24" x14ac:dyDescent="0.35">
      <c r="B21" s="235"/>
      <c r="C21" s="207" t="s">
        <v>485</v>
      </c>
      <c r="D21" s="250">
        <v>21076.16</v>
      </c>
      <c r="E21" s="250">
        <v>3367.6999999999994</v>
      </c>
      <c r="F21" s="250">
        <v>381.92000000000189</v>
      </c>
      <c r="G21" s="250"/>
      <c r="H21" s="250">
        <v>1532.72</v>
      </c>
      <c r="I21" s="250">
        <v>1532.72</v>
      </c>
      <c r="J21" s="250">
        <v>24825.780000000002</v>
      </c>
      <c r="K21" s="250">
        <v>6866.5856000000003</v>
      </c>
      <c r="L21" s="351">
        <v>0</v>
      </c>
      <c r="M21" s="250" t="s">
        <v>387</v>
      </c>
      <c r="N21" s="235" t="s">
        <v>365</v>
      </c>
      <c r="O21" s="211">
        <v>42919</v>
      </c>
      <c r="P21" s="211"/>
      <c r="Q21" s="235">
        <v>1734</v>
      </c>
      <c r="R21" s="235">
        <v>100</v>
      </c>
      <c r="S21" s="211"/>
      <c r="T21" s="251" t="s">
        <v>495</v>
      </c>
      <c r="U21" s="251">
        <v>4</v>
      </c>
      <c r="V21" s="353"/>
      <c r="W21" s="242"/>
      <c r="X21" s="242"/>
      <c r="Y21" s="242"/>
      <c r="Z21" s="242"/>
      <c r="AA21" s="242"/>
      <c r="AB21" s="242"/>
    </row>
    <row r="22" spans="2:28" ht="58" x14ac:dyDescent="0.35">
      <c r="B22" s="235"/>
      <c r="C22" s="207" t="s">
        <v>485</v>
      </c>
      <c r="D22" s="250">
        <v>28041.58</v>
      </c>
      <c r="E22" s="250">
        <v>2029.7900000000002</v>
      </c>
      <c r="F22" s="250">
        <v>6628.4400000000023</v>
      </c>
      <c r="G22" s="250"/>
      <c r="H22" s="250">
        <v>2452.73</v>
      </c>
      <c r="I22" s="250">
        <v>2452.73</v>
      </c>
      <c r="J22" s="250">
        <v>36699.810000000005</v>
      </c>
      <c r="K22" s="250">
        <v>11094.406400000002</v>
      </c>
      <c r="L22" s="351">
        <v>0</v>
      </c>
      <c r="M22" s="250" t="s">
        <v>387</v>
      </c>
      <c r="N22" s="235" t="s">
        <v>365</v>
      </c>
      <c r="O22" s="211">
        <v>43514</v>
      </c>
      <c r="P22" s="211"/>
      <c r="Q22" s="235">
        <v>1734</v>
      </c>
      <c r="R22" s="235">
        <v>100</v>
      </c>
      <c r="S22" s="211">
        <v>45565</v>
      </c>
      <c r="T22" s="251" t="s">
        <v>496</v>
      </c>
      <c r="U22" s="251">
        <v>2</v>
      </c>
      <c r="V22" s="353"/>
      <c r="W22" s="242" t="s">
        <v>489</v>
      </c>
      <c r="X22" s="242"/>
      <c r="Y22" s="242"/>
      <c r="Z22" s="242"/>
      <c r="AA22" s="242"/>
      <c r="AB22" s="234" t="s">
        <v>576</v>
      </c>
    </row>
    <row r="23" spans="2:28" ht="24" x14ac:dyDescent="0.35">
      <c r="B23" s="235"/>
      <c r="C23" s="207" t="s">
        <v>485</v>
      </c>
      <c r="D23" s="250">
        <v>21169.119999999999</v>
      </c>
      <c r="E23" s="250">
        <v>1899.5</v>
      </c>
      <c r="F23" s="250">
        <v>381.92000000000189</v>
      </c>
      <c r="G23" s="250"/>
      <c r="H23" s="250">
        <v>1515.66</v>
      </c>
      <c r="I23" s="250">
        <v>1515.66</v>
      </c>
      <c r="J23" s="250">
        <v>23450.54</v>
      </c>
      <c r="K23" s="250">
        <v>6896.3328000000001</v>
      </c>
      <c r="L23" s="351">
        <v>0</v>
      </c>
      <c r="M23" s="250" t="s">
        <v>390</v>
      </c>
      <c r="N23" s="235" t="s">
        <v>365</v>
      </c>
      <c r="O23" s="211">
        <v>43915</v>
      </c>
      <c r="P23" s="211"/>
      <c r="Q23" s="235">
        <v>1734</v>
      </c>
      <c r="R23" s="235">
        <v>100</v>
      </c>
      <c r="S23" s="211"/>
      <c r="T23" s="251" t="s">
        <v>495</v>
      </c>
      <c r="U23" s="251">
        <v>4</v>
      </c>
      <c r="V23" s="353"/>
      <c r="W23" s="242"/>
      <c r="X23" s="242"/>
      <c r="Y23" s="242"/>
      <c r="Z23" s="242"/>
      <c r="AA23" s="242"/>
      <c r="AB23" s="242"/>
    </row>
    <row r="24" spans="2:28" ht="24" x14ac:dyDescent="0.35">
      <c r="B24" s="235"/>
      <c r="C24" s="207" t="s">
        <v>485</v>
      </c>
      <c r="D24" s="250">
        <v>10074.859999999999</v>
      </c>
      <c r="E24" s="250">
        <v>397.34</v>
      </c>
      <c r="F24" s="250">
        <v>0</v>
      </c>
      <c r="G24" s="250"/>
      <c r="H24" s="250">
        <v>709.51</v>
      </c>
      <c r="I24" s="250">
        <v>709.51</v>
      </c>
      <c r="J24" s="250">
        <v>10472.199999999999</v>
      </c>
      <c r="K24" s="250">
        <v>3223.9551999999999</v>
      </c>
      <c r="L24" s="351">
        <v>0</v>
      </c>
      <c r="M24" s="250" t="s">
        <v>391</v>
      </c>
      <c r="N24" s="235" t="s">
        <v>365</v>
      </c>
      <c r="O24" s="211">
        <v>44655</v>
      </c>
      <c r="P24" s="211"/>
      <c r="Q24" s="235">
        <v>1734</v>
      </c>
      <c r="R24" s="235">
        <v>50</v>
      </c>
      <c r="S24" s="211"/>
      <c r="T24" s="251" t="s">
        <v>501</v>
      </c>
      <c r="U24" s="251">
        <v>9</v>
      </c>
      <c r="V24" s="353"/>
      <c r="W24" s="242"/>
      <c r="X24" s="242"/>
      <c r="Y24" s="242"/>
      <c r="Z24" s="242"/>
      <c r="AA24" s="242"/>
      <c r="AB24" s="242"/>
    </row>
    <row r="25" spans="2:28" ht="58" x14ac:dyDescent="0.35">
      <c r="B25" s="235"/>
      <c r="C25" s="207" t="s">
        <v>485</v>
      </c>
      <c r="D25" s="250">
        <v>11401.08</v>
      </c>
      <c r="E25" s="250">
        <v>662.89</v>
      </c>
      <c r="F25" s="250">
        <v>210</v>
      </c>
      <c r="G25" s="250"/>
      <c r="H25" s="250">
        <v>819.2399999999999</v>
      </c>
      <c r="I25" s="250">
        <v>819.2399999999999</v>
      </c>
      <c r="J25" s="250">
        <v>12273.97</v>
      </c>
      <c r="K25" s="250">
        <v>3715.5455999999999</v>
      </c>
      <c r="L25" s="351">
        <v>0</v>
      </c>
      <c r="M25" s="250" t="s">
        <v>391</v>
      </c>
      <c r="N25" s="235" t="s">
        <v>365</v>
      </c>
      <c r="O25" s="211">
        <v>45051</v>
      </c>
      <c r="P25" s="211"/>
      <c r="Q25" s="235">
        <v>1734</v>
      </c>
      <c r="R25" s="235">
        <v>55</v>
      </c>
      <c r="S25" s="211">
        <v>45535</v>
      </c>
      <c r="T25" s="251" t="s">
        <v>495</v>
      </c>
      <c r="U25" s="251">
        <v>4</v>
      </c>
      <c r="V25" s="353"/>
      <c r="W25" s="242" t="s">
        <v>489</v>
      </c>
      <c r="X25" s="242"/>
      <c r="Y25" s="242"/>
      <c r="Z25" s="242"/>
      <c r="AA25" s="242"/>
      <c r="AB25" s="234" t="s">
        <v>563</v>
      </c>
    </row>
    <row r="26" spans="2:28" ht="58" x14ac:dyDescent="0.35">
      <c r="B26" s="235"/>
      <c r="C26" s="207" t="s">
        <v>485</v>
      </c>
      <c r="D26" s="250">
        <v>13942.880000000001</v>
      </c>
      <c r="E26" s="250">
        <v>604.05999999999995</v>
      </c>
      <c r="F26" s="250">
        <v>3314.2199999999975</v>
      </c>
      <c r="G26" s="250"/>
      <c r="H26" s="250">
        <v>1208.95</v>
      </c>
      <c r="I26" s="250">
        <v>1208.95</v>
      </c>
      <c r="J26" s="250">
        <v>17861.16</v>
      </c>
      <c r="K26" s="250">
        <v>5522.2719999999999</v>
      </c>
      <c r="L26" s="351">
        <v>0</v>
      </c>
      <c r="M26" s="250" t="s">
        <v>391</v>
      </c>
      <c r="N26" s="235" t="s">
        <v>365</v>
      </c>
      <c r="O26" s="211">
        <v>45009</v>
      </c>
      <c r="P26" s="211"/>
      <c r="Q26" s="235">
        <v>1734</v>
      </c>
      <c r="R26" s="235">
        <v>50</v>
      </c>
      <c r="S26" s="211">
        <v>45657</v>
      </c>
      <c r="T26" s="251" t="s">
        <v>496</v>
      </c>
      <c r="U26" s="251">
        <v>2</v>
      </c>
      <c r="V26" s="353"/>
      <c r="W26" s="242" t="s">
        <v>489</v>
      </c>
      <c r="X26" s="242"/>
      <c r="Y26" s="242"/>
      <c r="Z26" s="242"/>
      <c r="AA26" s="242"/>
      <c r="AB26" s="234" t="s">
        <v>577</v>
      </c>
    </row>
    <row r="27" spans="2:28" ht="58" x14ac:dyDescent="0.35">
      <c r="B27" s="235"/>
      <c r="C27" s="207" t="s">
        <v>485</v>
      </c>
      <c r="D27" s="250">
        <v>15088.22</v>
      </c>
      <c r="E27" s="250">
        <v>200.10000000000002</v>
      </c>
      <c r="F27" s="250">
        <v>8660.4</v>
      </c>
      <c r="G27" s="250"/>
      <c r="H27" s="250">
        <v>1696.33</v>
      </c>
      <c r="I27" s="250">
        <v>1696.33</v>
      </c>
      <c r="J27" s="250">
        <v>23948.719999999998</v>
      </c>
      <c r="K27" s="250">
        <v>7599.5583999999999</v>
      </c>
      <c r="L27" s="351">
        <v>950</v>
      </c>
      <c r="M27" s="250" t="s">
        <v>391</v>
      </c>
      <c r="N27" s="235" t="s">
        <v>365</v>
      </c>
      <c r="O27" s="211">
        <v>45395</v>
      </c>
      <c r="P27" s="211"/>
      <c r="Q27" s="235">
        <v>1734</v>
      </c>
      <c r="R27" s="235">
        <v>50</v>
      </c>
      <c r="S27" s="211">
        <v>45504</v>
      </c>
      <c r="T27" s="251" t="s">
        <v>523</v>
      </c>
      <c r="U27" s="251">
        <v>1</v>
      </c>
      <c r="V27" s="353"/>
      <c r="W27" s="242" t="s">
        <v>489</v>
      </c>
      <c r="X27" s="242"/>
      <c r="Y27" s="242"/>
      <c r="Z27" s="242"/>
      <c r="AA27" s="242"/>
      <c r="AB27" s="234" t="s">
        <v>578</v>
      </c>
    </row>
    <row r="28" spans="2:28" ht="24" x14ac:dyDescent="0.35">
      <c r="B28" s="235"/>
      <c r="C28" s="207" t="s">
        <v>485</v>
      </c>
      <c r="D28" s="250">
        <v>9038.9599999999991</v>
      </c>
      <c r="E28" s="250">
        <v>0</v>
      </c>
      <c r="F28" s="250">
        <v>0</v>
      </c>
      <c r="G28" s="250"/>
      <c r="H28" s="250">
        <v>621.93999999999994</v>
      </c>
      <c r="I28" s="250">
        <v>621.93999999999994</v>
      </c>
      <c r="J28" s="250">
        <v>9038.9599999999991</v>
      </c>
      <c r="K28" s="250">
        <v>2892.4671999999996</v>
      </c>
      <c r="L28" s="351">
        <v>0</v>
      </c>
      <c r="M28" s="250" t="s">
        <v>391</v>
      </c>
      <c r="N28" s="235" t="s">
        <v>365</v>
      </c>
      <c r="O28" s="211">
        <v>45474</v>
      </c>
      <c r="P28" s="211"/>
      <c r="Q28" s="235">
        <v>1734</v>
      </c>
      <c r="R28" s="235">
        <v>50</v>
      </c>
      <c r="S28" s="211"/>
      <c r="T28" s="251" t="s">
        <v>504</v>
      </c>
      <c r="U28" s="251">
        <v>5</v>
      </c>
      <c r="V28" s="353"/>
      <c r="W28" s="242"/>
      <c r="X28" s="242"/>
      <c r="Y28" s="242"/>
      <c r="Z28" s="242"/>
      <c r="AA28" s="242"/>
      <c r="AB28" s="242"/>
    </row>
    <row r="29" spans="2:28" ht="24" x14ac:dyDescent="0.35">
      <c r="B29" s="370" t="s">
        <v>579</v>
      </c>
      <c r="C29" s="207" t="s">
        <v>485</v>
      </c>
      <c r="D29" s="250">
        <f>(1/2)*20058.12</f>
        <v>10029.06</v>
      </c>
      <c r="E29" s="250">
        <f>(1/2)*941.32</f>
        <v>470.66</v>
      </c>
      <c r="F29" s="250">
        <f>(1/2)*11431.7</f>
        <v>5715.85</v>
      </c>
      <c r="G29" s="250"/>
      <c r="H29" s="250">
        <f>(1/2)*2239.15</f>
        <v>1119.575</v>
      </c>
      <c r="I29" s="250">
        <f>(1/2)*2239.15</f>
        <v>1119.575</v>
      </c>
      <c r="J29" s="250">
        <f>(1/2)*32431.14</f>
        <v>16215.57</v>
      </c>
      <c r="K29" s="250">
        <f>(1/2)*10076.7424</f>
        <v>5038.3711999999996</v>
      </c>
      <c r="L29" s="351">
        <f>(1/2)*1254</f>
        <v>627</v>
      </c>
      <c r="M29" s="250" t="s">
        <v>391</v>
      </c>
      <c r="N29" s="235" t="s">
        <v>365</v>
      </c>
      <c r="O29" s="211">
        <v>45208</v>
      </c>
      <c r="P29" s="211"/>
      <c r="Q29" s="235">
        <v>1734</v>
      </c>
      <c r="R29" s="369">
        <f>(1/2)*66</f>
        <v>33</v>
      </c>
      <c r="S29" s="211"/>
      <c r="T29" s="251" t="s">
        <v>523</v>
      </c>
      <c r="U29" s="251">
        <v>1</v>
      </c>
      <c r="V29" s="353"/>
      <c r="W29" s="242"/>
      <c r="X29" s="242"/>
      <c r="Y29" s="242"/>
      <c r="Z29" s="242"/>
      <c r="AA29" s="242"/>
      <c r="AB29" s="242"/>
    </row>
    <row r="30" spans="2:28" ht="24" x14ac:dyDescent="0.35">
      <c r="B30" s="370" t="s">
        <v>580</v>
      </c>
      <c r="C30" s="207" t="s">
        <v>485</v>
      </c>
      <c r="D30" s="250">
        <f>(1/3)*19507.6</f>
        <v>6502.5333333333328</v>
      </c>
      <c r="E30" s="250">
        <f>(1/3)*2445.54</f>
        <v>815.18</v>
      </c>
      <c r="F30" s="250">
        <f>(1/3)*5824.56</f>
        <v>1941.52</v>
      </c>
      <c r="G30" s="250"/>
      <c r="H30" s="250">
        <f>(1/3)*1785.74</f>
        <v>595.24666666666667</v>
      </c>
      <c r="I30" s="250">
        <f>(1/3)*1785.74</f>
        <v>595.24666666666667</v>
      </c>
      <c r="J30" s="250">
        <f>(1/3)*27777.7</f>
        <v>9259.2333333333336</v>
      </c>
      <c r="K30" s="250">
        <f>(1/3)*8106.2912</f>
        <v>2702.0970666666663</v>
      </c>
      <c r="L30" s="351">
        <f>(1/3)*1200</f>
        <v>400</v>
      </c>
      <c r="M30" s="250" t="s">
        <v>390</v>
      </c>
      <c r="N30" s="235" t="s">
        <v>365</v>
      </c>
      <c r="O30" s="211">
        <v>43132</v>
      </c>
      <c r="P30" s="211"/>
      <c r="Q30" s="235">
        <v>1734</v>
      </c>
      <c r="R30" s="369">
        <f>(1/3)*100</f>
        <v>33.333333333333329</v>
      </c>
      <c r="S30" s="211"/>
      <c r="T30" s="251" t="s">
        <v>573</v>
      </c>
      <c r="U30" s="251">
        <v>8</v>
      </c>
      <c r="V30" s="353"/>
      <c r="W30" s="242"/>
      <c r="X30" s="242"/>
      <c r="Y30" s="242"/>
      <c r="Z30" s="242"/>
      <c r="AA30" s="242"/>
      <c r="AB30" s="242"/>
    </row>
    <row r="31" spans="2:28" ht="147.75" customHeight="1" x14ac:dyDescent="0.35">
      <c r="B31" s="370" t="s">
        <v>574</v>
      </c>
      <c r="C31" s="207" t="s">
        <v>485</v>
      </c>
      <c r="D31" s="250">
        <v>2406.194</v>
      </c>
      <c r="E31" s="250">
        <v>170.423</v>
      </c>
      <c r="F31" s="250">
        <v>408.92600000000022</v>
      </c>
      <c r="G31" s="250"/>
      <c r="H31" s="250">
        <v>201.07999999999998</v>
      </c>
      <c r="I31" s="250">
        <v>201.07999999999998</v>
      </c>
      <c r="J31" s="250">
        <v>2985.5430000000001</v>
      </c>
      <c r="K31" s="250">
        <v>900.83839999999998</v>
      </c>
      <c r="L31" s="351">
        <v>0</v>
      </c>
      <c r="M31" s="250" t="s">
        <v>390</v>
      </c>
      <c r="N31" s="235" t="s">
        <v>365</v>
      </c>
      <c r="O31" s="211">
        <v>39167</v>
      </c>
      <c r="P31" s="238"/>
      <c r="Q31" s="235">
        <v>1734</v>
      </c>
      <c r="R31" s="252">
        <v>10</v>
      </c>
      <c r="S31" s="352"/>
      <c r="T31" s="251" t="s">
        <v>508</v>
      </c>
      <c r="U31" s="251">
        <v>8</v>
      </c>
      <c r="V31" s="353"/>
      <c r="W31" s="242"/>
      <c r="X31" s="242"/>
      <c r="Y31" s="242"/>
      <c r="Z31" s="242"/>
      <c r="AA31" s="242"/>
      <c r="AB31" s="242"/>
    </row>
    <row r="32" spans="2:28" ht="147.75" customHeight="1" x14ac:dyDescent="0.35">
      <c r="B32" s="370" t="s">
        <v>574</v>
      </c>
      <c r="C32" s="207" t="s">
        <v>485</v>
      </c>
      <c r="D32" s="250">
        <v>2387.252</v>
      </c>
      <c r="E32" s="250">
        <v>143.655</v>
      </c>
      <c r="F32" s="250">
        <v>482.39799999999997</v>
      </c>
      <c r="G32" s="250"/>
      <c r="H32" s="250">
        <v>201.10499999999999</v>
      </c>
      <c r="I32" s="250">
        <v>201.10499999999999</v>
      </c>
      <c r="J32" s="250">
        <v>3013.3049999999998</v>
      </c>
      <c r="K32" s="250">
        <v>918.28800000000012</v>
      </c>
      <c r="L32" s="351">
        <v>0</v>
      </c>
      <c r="M32" s="250" t="s">
        <v>387</v>
      </c>
      <c r="N32" s="235" t="s">
        <v>365</v>
      </c>
      <c r="O32" s="211">
        <v>38845</v>
      </c>
      <c r="P32" s="238"/>
      <c r="Q32" s="235">
        <v>1734</v>
      </c>
      <c r="R32" s="252">
        <v>10</v>
      </c>
      <c r="S32" s="352"/>
      <c r="T32" s="251" t="s">
        <v>509</v>
      </c>
      <c r="U32" s="251">
        <v>8</v>
      </c>
      <c r="V32" s="353"/>
      <c r="W32" s="242"/>
      <c r="X32" s="242"/>
      <c r="Y32" s="242"/>
      <c r="Z32" s="242"/>
      <c r="AA32" s="242"/>
      <c r="AB32" s="242"/>
    </row>
    <row r="33" spans="2:29" ht="147.75" customHeight="1" x14ac:dyDescent="0.35">
      <c r="B33" s="370" t="s">
        <v>574</v>
      </c>
      <c r="C33" s="207" t="s">
        <v>485</v>
      </c>
      <c r="D33" s="250">
        <v>3242.0080000000003</v>
      </c>
      <c r="E33" s="250">
        <v>1515.021</v>
      </c>
      <c r="F33" s="250">
        <v>5267.9680000000008</v>
      </c>
      <c r="G33" s="250"/>
      <c r="H33" s="250">
        <v>557.42200000000003</v>
      </c>
      <c r="I33" s="250">
        <v>557.42200000000003</v>
      </c>
      <c r="J33" s="250">
        <v>10024.996999999999</v>
      </c>
      <c r="K33" s="250">
        <v>1812.672</v>
      </c>
      <c r="L33" s="351">
        <v>1250</v>
      </c>
      <c r="M33" s="250" t="s">
        <v>387</v>
      </c>
      <c r="N33" s="235" t="s">
        <v>365</v>
      </c>
      <c r="O33" s="211">
        <v>33273</v>
      </c>
      <c r="P33" s="238"/>
      <c r="Q33" s="235">
        <v>1734</v>
      </c>
      <c r="R33" s="252">
        <v>10</v>
      </c>
      <c r="S33" s="352"/>
      <c r="T33" s="251" t="s">
        <v>510</v>
      </c>
      <c r="U33" s="251">
        <v>6</v>
      </c>
      <c r="V33" s="353"/>
      <c r="W33" s="242"/>
      <c r="X33" s="242"/>
      <c r="Y33" s="242"/>
      <c r="Z33" s="242"/>
      <c r="AA33" s="242"/>
      <c r="AB33" s="242"/>
    </row>
    <row r="34" spans="2:29" ht="147.75" customHeight="1" x14ac:dyDescent="0.35">
      <c r="B34" s="370" t="s">
        <v>574</v>
      </c>
      <c r="C34" s="207" t="s">
        <v>485</v>
      </c>
      <c r="D34" s="250">
        <v>3097.57</v>
      </c>
      <c r="E34" s="250">
        <v>565.12999999999988</v>
      </c>
      <c r="F34" s="250">
        <v>3069.3339999999994</v>
      </c>
      <c r="G34" s="250"/>
      <c r="H34" s="250">
        <v>366.48399999999998</v>
      </c>
      <c r="I34" s="250">
        <v>366.48399999999998</v>
      </c>
      <c r="J34" s="250">
        <v>6732.0339999999997</v>
      </c>
      <c r="K34" s="250">
        <v>1812.672</v>
      </c>
      <c r="L34" s="351">
        <v>432</v>
      </c>
      <c r="M34" s="250" t="s">
        <v>387</v>
      </c>
      <c r="N34" s="235" t="s">
        <v>365</v>
      </c>
      <c r="O34" s="211">
        <v>31845</v>
      </c>
      <c r="P34" s="238"/>
      <c r="Q34" s="235">
        <v>1734</v>
      </c>
      <c r="R34" s="252">
        <v>10</v>
      </c>
      <c r="S34" s="352"/>
      <c r="T34" s="251" t="s">
        <v>511</v>
      </c>
      <c r="U34" s="251">
        <v>2</v>
      </c>
      <c r="V34" s="353"/>
      <c r="W34" s="242"/>
      <c r="X34" s="242"/>
      <c r="Y34" s="242"/>
      <c r="Z34" s="242"/>
      <c r="AA34" s="242"/>
      <c r="AB34" s="242"/>
    </row>
    <row r="35" spans="2:29" ht="147.75" customHeight="1" x14ac:dyDescent="0.35">
      <c r="B35" s="370" t="s">
        <v>574</v>
      </c>
      <c r="C35" s="207" t="s">
        <v>485</v>
      </c>
      <c r="D35" s="250">
        <v>1713.2079999999999</v>
      </c>
      <c r="E35" s="250">
        <v>37.150999999999996</v>
      </c>
      <c r="F35" s="250">
        <v>4162.7039999999997</v>
      </c>
      <c r="G35" s="250"/>
      <c r="H35" s="250">
        <v>417.33800000000002</v>
      </c>
      <c r="I35" s="250">
        <v>417.33800000000002</v>
      </c>
      <c r="J35" s="250">
        <v>5913.0630000000001</v>
      </c>
      <c r="K35" s="250">
        <v>1812.672</v>
      </c>
      <c r="L35" s="351">
        <v>0</v>
      </c>
      <c r="M35" s="250" t="s">
        <v>391</v>
      </c>
      <c r="N35" s="235" t="s">
        <v>365</v>
      </c>
      <c r="O35" s="211">
        <v>35977</v>
      </c>
      <c r="P35" s="238"/>
      <c r="Q35" s="235">
        <v>1734</v>
      </c>
      <c r="R35" s="252">
        <v>5</v>
      </c>
      <c r="S35" s="352"/>
      <c r="T35" s="251" t="s">
        <v>512</v>
      </c>
      <c r="U35" s="251">
        <v>1</v>
      </c>
      <c r="V35" s="353"/>
      <c r="W35" s="242"/>
      <c r="X35" s="242"/>
      <c r="Y35" s="242"/>
      <c r="Z35" s="242"/>
      <c r="AA35" s="242"/>
      <c r="AB35" s="242"/>
    </row>
    <row r="36" spans="2:29" ht="147.75" customHeight="1" x14ac:dyDescent="0.35">
      <c r="B36" s="370" t="s">
        <v>574</v>
      </c>
      <c r="C36" s="207" t="s">
        <v>485</v>
      </c>
      <c r="D36" s="250">
        <v>2606.982</v>
      </c>
      <c r="E36" s="250">
        <v>473.12299999999993</v>
      </c>
      <c r="F36" s="250">
        <v>2571.4499999999998</v>
      </c>
      <c r="G36" s="250"/>
      <c r="H36" s="250">
        <v>368.38800000000003</v>
      </c>
      <c r="I36" s="250">
        <v>368.38800000000003</v>
      </c>
      <c r="J36" s="250">
        <v>5651.5550000000003</v>
      </c>
      <c r="K36" s="250">
        <v>1657.09824</v>
      </c>
      <c r="L36" s="351">
        <v>240</v>
      </c>
      <c r="M36" s="250" t="s">
        <v>387</v>
      </c>
      <c r="N36" s="235" t="s">
        <v>365</v>
      </c>
      <c r="O36" s="211">
        <v>33493</v>
      </c>
      <c r="P36" s="238"/>
      <c r="Q36" s="235">
        <v>1734</v>
      </c>
      <c r="R36" s="252">
        <v>10</v>
      </c>
      <c r="S36" s="352"/>
      <c r="T36" s="251" t="s">
        <v>513</v>
      </c>
      <c r="U36" s="251">
        <v>8</v>
      </c>
      <c r="V36" s="353"/>
      <c r="W36" s="242"/>
      <c r="X36" s="242"/>
      <c r="Y36" s="242"/>
      <c r="Z36" s="242"/>
      <c r="AA36" s="242"/>
      <c r="AB36" s="242"/>
    </row>
    <row r="37" spans="2:29" ht="147.75" customHeight="1" x14ac:dyDescent="0.35">
      <c r="B37" s="370" t="s">
        <v>574</v>
      </c>
      <c r="C37" s="207" t="s">
        <v>485</v>
      </c>
      <c r="D37" s="250">
        <v>2118.288</v>
      </c>
      <c r="E37" s="250">
        <v>215.75200000000001</v>
      </c>
      <c r="F37" s="250">
        <v>0</v>
      </c>
      <c r="G37" s="250"/>
      <c r="H37" s="250">
        <v>150.29400000000001</v>
      </c>
      <c r="I37" s="250">
        <v>150.29400000000001</v>
      </c>
      <c r="J37" s="250">
        <v>2334.04</v>
      </c>
      <c r="K37" s="250">
        <v>677.85216000000003</v>
      </c>
      <c r="L37" s="351">
        <v>0</v>
      </c>
      <c r="M37" s="250" t="s">
        <v>390</v>
      </c>
      <c r="N37" s="235" t="s">
        <v>365</v>
      </c>
      <c r="O37" s="211">
        <v>42401</v>
      </c>
      <c r="P37" s="238"/>
      <c r="Q37" s="235">
        <v>1734</v>
      </c>
      <c r="R37" s="252">
        <v>10</v>
      </c>
      <c r="S37" s="352"/>
      <c r="T37" s="251" t="s">
        <v>514</v>
      </c>
      <c r="U37" s="251">
        <v>4</v>
      </c>
      <c r="V37" s="353"/>
      <c r="W37" s="242"/>
      <c r="X37" s="242"/>
      <c r="Y37" s="242"/>
      <c r="Z37" s="242"/>
      <c r="AA37" s="242"/>
      <c r="AB37" s="242"/>
    </row>
    <row r="38" spans="2:29" ht="147.75" customHeight="1" x14ac:dyDescent="0.35">
      <c r="B38" s="370" t="s">
        <v>574</v>
      </c>
      <c r="C38" s="207" t="s">
        <v>485</v>
      </c>
      <c r="D38" s="250">
        <v>3013.0940000000001</v>
      </c>
      <c r="E38" s="250">
        <v>117.37100000000001</v>
      </c>
      <c r="F38" s="250">
        <v>1091.7759999999994</v>
      </c>
      <c r="G38" s="250"/>
      <c r="H38" s="250">
        <v>289.33499999999998</v>
      </c>
      <c r="I38" s="250">
        <v>289.33499999999998</v>
      </c>
      <c r="J38" s="250">
        <v>4222.241</v>
      </c>
      <c r="K38" s="250">
        <v>1313.5583999999999</v>
      </c>
      <c r="L38" s="351">
        <v>0</v>
      </c>
      <c r="M38" s="250" t="s">
        <v>387</v>
      </c>
      <c r="N38" s="235" t="s">
        <v>365</v>
      </c>
      <c r="O38" s="211">
        <v>42509</v>
      </c>
      <c r="P38" s="238"/>
      <c r="Q38" s="235">
        <v>1734</v>
      </c>
      <c r="R38" s="252">
        <v>10</v>
      </c>
      <c r="S38" s="352"/>
      <c r="T38" s="251" t="s">
        <v>515</v>
      </c>
      <c r="U38" s="251">
        <v>7</v>
      </c>
      <c r="V38" s="353"/>
      <c r="W38" s="242"/>
      <c r="X38" s="242"/>
      <c r="Y38" s="242"/>
      <c r="Z38" s="242"/>
      <c r="AA38" s="242"/>
      <c r="AB38" s="242"/>
    </row>
    <row r="39" spans="2:29" ht="147.75" customHeight="1" x14ac:dyDescent="0.35">
      <c r="B39" s="370" t="s">
        <v>574</v>
      </c>
      <c r="C39" s="207" t="s">
        <v>485</v>
      </c>
      <c r="D39" s="250">
        <v>3247</v>
      </c>
      <c r="E39" s="250">
        <v>204.42800000000003</v>
      </c>
      <c r="F39" s="250">
        <v>993.11800000000005</v>
      </c>
      <c r="G39" s="250"/>
      <c r="H39" s="250">
        <v>300.84100000000001</v>
      </c>
      <c r="I39" s="250">
        <v>300.84100000000001</v>
      </c>
      <c r="J39" s="250">
        <v>4444.5460000000003</v>
      </c>
      <c r="K39" s="250">
        <v>1356.8377599999999</v>
      </c>
      <c r="L39" s="351">
        <v>0</v>
      </c>
      <c r="M39" s="250" t="s">
        <v>387</v>
      </c>
      <c r="N39" s="235" t="s">
        <v>365</v>
      </c>
      <c r="O39" s="211">
        <v>42522</v>
      </c>
      <c r="P39" s="238"/>
      <c r="Q39" s="235">
        <v>1734</v>
      </c>
      <c r="R39" s="252">
        <v>10</v>
      </c>
      <c r="S39" s="352"/>
      <c r="T39" s="251" t="s">
        <v>516</v>
      </c>
      <c r="U39" s="251">
        <v>1</v>
      </c>
      <c r="V39" s="353"/>
      <c r="W39" s="242"/>
      <c r="X39" s="242"/>
      <c r="Y39" s="242"/>
      <c r="Z39" s="242"/>
      <c r="AA39" s="242"/>
      <c r="AB39" s="242"/>
    </row>
    <row r="40" spans="2:29" ht="147.75" customHeight="1" x14ac:dyDescent="0.35">
      <c r="B40" s="370" t="s">
        <v>574</v>
      </c>
      <c r="C40" s="207" t="s">
        <v>485</v>
      </c>
      <c r="D40" s="250">
        <v>2230.2219999999998</v>
      </c>
      <c r="E40" s="250">
        <v>225.20100000000002</v>
      </c>
      <c r="F40" s="250">
        <v>429.92600000000022</v>
      </c>
      <c r="G40" s="250"/>
      <c r="H40" s="250">
        <v>186.48600000000002</v>
      </c>
      <c r="I40" s="250">
        <v>186.48600000000002</v>
      </c>
      <c r="J40" s="250">
        <v>2885.3489999999997</v>
      </c>
      <c r="K40" s="250">
        <v>851.24735999999996</v>
      </c>
      <c r="L40" s="351">
        <v>0</v>
      </c>
      <c r="M40" s="250" t="s">
        <v>387</v>
      </c>
      <c r="N40" s="235" t="s">
        <v>365</v>
      </c>
      <c r="O40" s="211">
        <v>44503</v>
      </c>
      <c r="P40" s="238"/>
      <c r="Q40" s="235">
        <v>1734</v>
      </c>
      <c r="R40" s="252">
        <v>10</v>
      </c>
      <c r="S40" s="352"/>
      <c r="T40" s="251" t="s">
        <v>509</v>
      </c>
      <c r="U40" s="251">
        <v>8</v>
      </c>
      <c r="V40" s="353"/>
      <c r="W40" s="242"/>
      <c r="X40" s="242"/>
      <c r="Y40" s="242"/>
      <c r="Z40" s="242"/>
      <c r="AA40" s="242"/>
      <c r="AB40" s="242"/>
    </row>
    <row r="41" spans="2:29" x14ac:dyDescent="0.35">
      <c r="B41" s="135"/>
      <c r="Y41" s="126"/>
      <c r="Z41" s="126"/>
      <c r="AA41" s="126"/>
      <c r="AB41" s="126"/>
      <c r="AC41" s="126"/>
    </row>
    <row r="42" spans="2:29" x14ac:dyDescent="0.35">
      <c r="B42" s="135"/>
      <c r="Y42" s="126"/>
      <c r="Z42" s="126"/>
      <c r="AA42" s="126"/>
      <c r="AB42" s="126"/>
      <c r="AC42" s="126"/>
    </row>
    <row r="43" spans="2:29" ht="19" thickBot="1" x14ac:dyDescent="0.5">
      <c r="B43" s="18" t="s">
        <v>17</v>
      </c>
      <c r="C43" s="1"/>
    </row>
    <row r="44" spans="2:29" ht="33.75" customHeight="1" x14ac:dyDescent="0.35">
      <c r="B44" s="19" t="s">
        <v>344</v>
      </c>
      <c r="C44" s="19" t="s">
        <v>2</v>
      </c>
      <c r="D44" s="19" t="s">
        <v>21</v>
      </c>
      <c r="E44" s="19" t="s">
        <v>1</v>
      </c>
      <c r="F44" s="19" t="s">
        <v>22</v>
      </c>
      <c r="G44" s="19" t="s">
        <v>14</v>
      </c>
      <c r="H44" s="19" t="s">
        <v>18</v>
      </c>
      <c r="I44" s="19" t="s">
        <v>15</v>
      </c>
      <c r="J44" s="19" t="s">
        <v>10</v>
      </c>
      <c r="K44" s="19" t="s">
        <v>23</v>
      </c>
      <c r="L44" s="19" t="s">
        <v>16</v>
      </c>
      <c r="M44" s="19" t="s">
        <v>3</v>
      </c>
      <c r="N44" s="19" t="s">
        <v>11</v>
      </c>
      <c r="O44" s="19" t="s">
        <v>4</v>
      </c>
      <c r="P44" s="19" t="s">
        <v>5</v>
      </c>
      <c r="Q44" s="19" t="s">
        <v>24</v>
      </c>
      <c r="R44" s="19" t="s">
        <v>25</v>
      </c>
      <c r="S44" s="19" t="s">
        <v>26</v>
      </c>
      <c r="T44" s="19" t="s">
        <v>27</v>
      </c>
      <c r="U44" s="19" t="s">
        <v>6</v>
      </c>
      <c r="V44" s="19" t="s">
        <v>7</v>
      </c>
      <c r="W44" s="19" t="s">
        <v>28</v>
      </c>
      <c r="X44" s="19" t="s">
        <v>29</v>
      </c>
      <c r="Y44" s="19" t="s">
        <v>30</v>
      </c>
      <c r="Z44" s="19" t="s">
        <v>31</v>
      </c>
      <c r="AA44" s="57" t="s">
        <v>8</v>
      </c>
      <c r="AB44" s="57" t="s">
        <v>9</v>
      </c>
    </row>
    <row r="45" spans="2:29" x14ac:dyDescent="0.35">
      <c r="B45" s="4"/>
      <c r="C45" s="35"/>
      <c r="D45" s="5"/>
      <c r="E45" s="5"/>
      <c r="F45" s="5"/>
      <c r="G45" s="5"/>
      <c r="H45" s="5"/>
      <c r="I45" s="5"/>
      <c r="J45" s="5"/>
      <c r="K45" s="5"/>
      <c r="L45" s="4"/>
      <c r="M45" s="4"/>
      <c r="N45" s="4"/>
      <c r="O45" s="6"/>
      <c r="P45" s="7"/>
      <c r="Q45" s="8"/>
      <c r="R45" s="8"/>
      <c r="S45" s="8"/>
      <c r="T45" s="9"/>
      <c r="U45" s="9"/>
      <c r="V45" s="10"/>
      <c r="W45" s="36"/>
      <c r="X45" s="36" t="s">
        <v>0</v>
      </c>
      <c r="Y45" s="36"/>
      <c r="Z45" s="36"/>
      <c r="AA45" s="36"/>
      <c r="AB45" s="36"/>
    </row>
    <row r="46" spans="2:29" x14ac:dyDescent="0.35">
      <c r="B46" s="4"/>
      <c r="C46" s="31"/>
      <c r="D46" s="5"/>
      <c r="E46" s="5"/>
      <c r="F46" s="5"/>
      <c r="G46" s="5"/>
      <c r="H46" s="5"/>
      <c r="I46" s="5"/>
      <c r="J46" s="5"/>
      <c r="K46" s="5"/>
      <c r="L46" s="4"/>
      <c r="M46" s="4"/>
      <c r="N46" s="4"/>
      <c r="O46" s="6"/>
      <c r="P46" s="7"/>
      <c r="Q46" s="8"/>
      <c r="R46" s="8"/>
      <c r="S46" s="8"/>
      <c r="T46" s="9"/>
      <c r="U46" s="9"/>
      <c r="V46" s="10"/>
      <c r="W46" s="36"/>
      <c r="X46" s="36"/>
      <c r="Y46" s="36"/>
      <c r="Z46" s="36"/>
      <c r="AA46" s="36"/>
      <c r="AB46" s="36"/>
    </row>
    <row r="47" spans="2:29" x14ac:dyDescent="0.35">
      <c r="B47" s="4"/>
      <c r="C47" s="31"/>
      <c r="D47" s="5"/>
      <c r="E47" s="5"/>
      <c r="F47" s="5"/>
      <c r="G47" s="5"/>
      <c r="H47" s="5"/>
      <c r="I47" s="5"/>
      <c r="J47" s="5"/>
      <c r="K47" s="5"/>
      <c r="L47" s="4"/>
      <c r="M47" s="4"/>
      <c r="N47" s="4"/>
      <c r="O47" s="6"/>
      <c r="P47" s="7"/>
      <c r="Q47" s="8"/>
      <c r="R47" s="8"/>
      <c r="S47" s="8"/>
      <c r="T47" s="9"/>
      <c r="U47" s="9"/>
      <c r="V47" s="10"/>
      <c r="W47" s="36"/>
      <c r="X47" s="36"/>
      <c r="Y47" s="36"/>
      <c r="Z47" s="36"/>
      <c r="AA47" s="36"/>
      <c r="AB47" s="36"/>
    </row>
    <row r="48" spans="2:29" x14ac:dyDescent="0.35">
      <c r="B48" s="11"/>
      <c r="C48" s="31"/>
      <c r="D48" s="12"/>
      <c r="E48" s="12"/>
      <c r="F48" s="12"/>
      <c r="G48" s="12"/>
      <c r="H48" s="12"/>
      <c r="I48" s="12"/>
      <c r="J48" s="12"/>
      <c r="K48" s="12"/>
      <c r="L48" s="11"/>
      <c r="M48" s="11"/>
      <c r="N48" s="11"/>
      <c r="O48" s="37"/>
      <c r="P48" s="13"/>
      <c r="Q48" s="14"/>
      <c r="R48" s="14"/>
      <c r="S48" s="14"/>
      <c r="T48" s="38"/>
      <c r="U48" s="38"/>
      <c r="V48" s="15"/>
      <c r="W48" s="39"/>
      <c r="X48" s="39"/>
      <c r="Y48" s="39"/>
      <c r="Z48" s="39"/>
      <c r="AA48" s="39"/>
      <c r="AB48" s="39"/>
    </row>
    <row r="49" spans="2:29" x14ac:dyDescent="0.35">
      <c r="B49" s="11"/>
      <c r="C49" s="31"/>
      <c r="D49" s="12"/>
      <c r="E49" s="12"/>
      <c r="F49" s="12"/>
      <c r="G49" s="12"/>
      <c r="H49" s="12"/>
      <c r="I49" s="12"/>
      <c r="J49" s="12"/>
      <c r="K49" s="12"/>
      <c r="L49" s="11"/>
      <c r="M49" s="11"/>
      <c r="N49" s="11"/>
      <c r="O49" s="37"/>
      <c r="P49" s="13"/>
      <c r="Q49" s="14"/>
      <c r="R49" s="14"/>
      <c r="S49" s="14"/>
      <c r="T49" s="38"/>
      <c r="U49" s="38"/>
      <c r="V49" s="16"/>
      <c r="W49" s="39"/>
      <c r="X49" s="39"/>
      <c r="Y49" s="39"/>
      <c r="Z49" s="39"/>
      <c r="AA49" s="39"/>
      <c r="AB49" s="39"/>
    </row>
    <row r="50" spans="2:29" x14ac:dyDescent="0.35">
      <c r="B50" s="11"/>
      <c r="C50" s="31"/>
      <c r="D50" s="12"/>
      <c r="E50" s="12"/>
      <c r="F50" s="12"/>
      <c r="G50" s="12"/>
      <c r="H50" s="12"/>
      <c r="I50" s="12"/>
      <c r="J50" s="12"/>
      <c r="K50" s="12"/>
      <c r="L50" s="11"/>
      <c r="M50" s="11"/>
      <c r="N50" s="11"/>
      <c r="O50" s="37"/>
      <c r="P50" s="13"/>
      <c r="Q50" s="14"/>
      <c r="R50" s="14"/>
      <c r="S50" s="14"/>
      <c r="T50" s="38"/>
      <c r="U50" s="38"/>
      <c r="V50" s="16"/>
      <c r="W50" s="39"/>
      <c r="X50" s="39"/>
      <c r="Y50" s="39"/>
      <c r="Z50" s="39"/>
      <c r="AA50" s="39"/>
      <c r="AB50" s="39"/>
    </row>
    <row r="51" spans="2:29" x14ac:dyDescent="0.35">
      <c r="B51" s="127"/>
      <c r="C51" s="127"/>
      <c r="D51" s="128"/>
      <c r="E51" s="129"/>
      <c r="F51" s="129"/>
      <c r="G51" s="129"/>
      <c r="H51" s="129"/>
      <c r="I51" s="129"/>
      <c r="J51" s="129"/>
      <c r="K51" s="129"/>
      <c r="L51" s="129"/>
      <c r="M51" s="127"/>
      <c r="N51" s="127"/>
      <c r="O51" s="127"/>
      <c r="P51" s="130"/>
      <c r="Q51" s="131"/>
      <c r="R51" s="132"/>
      <c r="S51" s="132"/>
      <c r="T51" s="132"/>
      <c r="U51" s="133"/>
      <c r="V51" s="133"/>
      <c r="W51" s="134"/>
      <c r="X51" s="126"/>
      <c r="Y51" s="126"/>
      <c r="Z51" s="126"/>
      <c r="AA51" s="126"/>
      <c r="AB51" s="126"/>
      <c r="AC51" s="126"/>
    </row>
    <row r="52" spans="2:29" x14ac:dyDescent="0.35">
      <c r="B52" s="127"/>
      <c r="C52" s="127"/>
      <c r="D52" s="128"/>
      <c r="E52" s="129"/>
      <c r="F52" s="129"/>
      <c r="G52" s="129"/>
      <c r="H52" s="129"/>
      <c r="I52" s="129"/>
      <c r="J52" s="129"/>
      <c r="K52" s="129"/>
      <c r="L52" s="129"/>
      <c r="M52" s="127"/>
      <c r="N52" s="127"/>
      <c r="O52" s="127"/>
      <c r="P52" s="130"/>
      <c r="Q52" s="131"/>
      <c r="R52" s="132"/>
      <c r="S52" s="132"/>
      <c r="T52" s="132"/>
      <c r="U52" s="133"/>
      <c r="V52" s="133"/>
      <c r="W52" s="134"/>
      <c r="X52" s="126"/>
      <c r="Y52" s="126"/>
      <c r="Z52" s="126"/>
      <c r="AA52" s="126"/>
      <c r="AB52" s="126"/>
      <c r="AC52" s="126"/>
    </row>
    <row r="53" spans="2:29" x14ac:dyDescent="0.35">
      <c r="B53" s="135"/>
      <c r="C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  <c r="Q53" s="135"/>
    </row>
  </sheetData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73"/>
  <sheetViews>
    <sheetView zoomScaleNormal="100" workbookViewId="0">
      <pane xSplit="2" ySplit="9" topLeftCell="L51" activePane="bottomRight" state="frozen"/>
      <selection activeCell="L5" sqref="L5"/>
      <selection pane="topRight" activeCell="L5" sqref="L5"/>
      <selection pane="bottomLeft" activeCell="L5" sqref="L5"/>
      <selection pane="bottomRight" activeCell="B4" sqref="B4"/>
    </sheetView>
  </sheetViews>
  <sheetFormatPr defaultColWidth="11.453125" defaultRowHeight="14.5" x14ac:dyDescent="0.35"/>
  <cols>
    <col min="1" max="1" width="5.54296875" customWidth="1"/>
    <col min="2" max="2" width="39.81640625" customWidth="1"/>
    <col min="3" max="3" width="17.26953125" customWidth="1"/>
    <col min="4" max="30" width="11.1796875" customWidth="1"/>
  </cols>
  <sheetData>
    <row r="2" spans="2:28" ht="18.5" x14ac:dyDescent="0.45">
      <c r="B2" s="432" t="s">
        <v>13</v>
      </c>
      <c r="C2" s="1"/>
    </row>
    <row r="3" spans="2:28" x14ac:dyDescent="0.35">
      <c r="B3" s="23"/>
      <c r="C3" s="23"/>
      <c r="F3" s="23"/>
      <c r="G3" s="208"/>
      <c r="Q3" s="23"/>
      <c r="R3" s="23"/>
      <c r="S3" s="23"/>
    </row>
    <row r="4" spans="2:28" ht="15.5" x14ac:dyDescent="0.35">
      <c r="B4" s="62" t="s">
        <v>12</v>
      </c>
      <c r="C4" s="144" t="s">
        <v>481</v>
      </c>
      <c r="D4" s="145"/>
      <c r="E4" s="146"/>
      <c r="G4" s="208"/>
      <c r="Q4" s="23"/>
      <c r="R4" s="23"/>
      <c r="S4" s="23"/>
    </row>
    <row r="5" spans="2:28" ht="15.5" x14ac:dyDescent="0.35">
      <c r="B5" s="62" t="s">
        <v>20</v>
      </c>
      <c r="C5" s="144" t="s">
        <v>581</v>
      </c>
      <c r="D5" s="145"/>
      <c r="E5" s="147"/>
      <c r="Q5" s="23"/>
      <c r="R5" s="23"/>
      <c r="S5" s="23"/>
    </row>
    <row r="6" spans="2:28" ht="15.5" x14ac:dyDescent="0.35">
      <c r="B6" s="64" t="s">
        <v>19</v>
      </c>
      <c r="C6" s="144" t="s">
        <v>582</v>
      </c>
      <c r="D6" s="145"/>
      <c r="E6" s="147"/>
      <c r="Q6" s="23"/>
      <c r="R6" s="23"/>
      <c r="S6" s="23"/>
    </row>
    <row r="7" spans="2:28" ht="15.5" x14ac:dyDescent="0.35">
      <c r="B7" s="62" t="s">
        <v>32</v>
      </c>
      <c r="C7" s="148" t="s">
        <v>484</v>
      </c>
      <c r="D7" s="103"/>
      <c r="E7" s="149"/>
    </row>
    <row r="8" spans="2:28" ht="16" thickBot="1" x14ac:dyDescent="0.4">
      <c r="B8" s="70"/>
      <c r="C8" s="103"/>
      <c r="D8" s="103"/>
    </row>
    <row r="9" spans="2:28" ht="63" x14ac:dyDescent="0.35">
      <c r="B9" s="19" t="s">
        <v>344</v>
      </c>
      <c r="C9" s="19" t="s">
        <v>2</v>
      </c>
      <c r="D9" s="19" t="s">
        <v>21</v>
      </c>
      <c r="E9" s="19" t="s">
        <v>1</v>
      </c>
      <c r="F9" s="19" t="s">
        <v>22</v>
      </c>
      <c r="G9" s="19" t="s">
        <v>14</v>
      </c>
      <c r="H9" s="19" t="s">
        <v>18</v>
      </c>
      <c r="I9" s="19" t="s">
        <v>15</v>
      </c>
      <c r="J9" s="19" t="s">
        <v>10</v>
      </c>
      <c r="K9" s="19" t="s">
        <v>23</v>
      </c>
      <c r="L9" s="19" t="s">
        <v>16</v>
      </c>
      <c r="M9" s="19" t="s">
        <v>3</v>
      </c>
      <c r="N9" s="19" t="s">
        <v>11</v>
      </c>
      <c r="O9" s="19" t="s">
        <v>4</v>
      </c>
      <c r="P9" s="19" t="s">
        <v>5</v>
      </c>
      <c r="Q9" s="19" t="s">
        <v>24</v>
      </c>
      <c r="R9" s="19" t="s">
        <v>25</v>
      </c>
      <c r="S9" s="19" t="s">
        <v>26</v>
      </c>
      <c r="T9" s="19" t="s">
        <v>27</v>
      </c>
      <c r="U9" s="19" t="s">
        <v>6</v>
      </c>
      <c r="V9" s="19" t="s">
        <v>7</v>
      </c>
      <c r="W9" s="19" t="s">
        <v>28</v>
      </c>
      <c r="X9" s="19" t="s">
        <v>29</v>
      </c>
      <c r="Y9" s="19" t="s">
        <v>30</v>
      </c>
      <c r="Z9" s="19" t="s">
        <v>31</v>
      </c>
      <c r="AA9" s="57" t="s">
        <v>8</v>
      </c>
      <c r="AB9" s="57" t="s">
        <v>9</v>
      </c>
    </row>
    <row r="10" spans="2:28" ht="36" x14ac:dyDescent="0.35">
      <c r="B10" s="275"/>
      <c r="C10" s="203" t="s">
        <v>485</v>
      </c>
      <c r="D10" s="365">
        <v>30370.76</v>
      </c>
      <c r="E10" s="365">
        <v>2701.91</v>
      </c>
      <c r="F10" s="365">
        <v>6628.4399999999987</v>
      </c>
      <c r="G10" s="365"/>
      <c r="H10" s="365">
        <v>2619.0999999999995</v>
      </c>
      <c r="I10" s="365">
        <v>2619.0999999999995</v>
      </c>
      <c r="J10" s="365">
        <v>39701.11</v>
      </c>
      <c r="K10" s="365">
        <v>11839.743999999999</v>
      </c>
      <c r="L10" s="363">
        <v>0</v>
      </c>
      <c r="M10" s="275" t="s">
        <v>387</v>
      </c>
      <c r="N10" s="275" t="s">
        <v>365</v>
      </c>
      <c r="O10" s="366">
        <v>36269</v>
      </c>
      <c r="P10" s="164"/>
      <c r="Q10" s="275">
        <v>1734</v>
      </c>
      <c r="R10" s="275">
        <v>100</v>
      </c>
      <c r="S10" s="164"/>
      <c r="T10" s="74" t="s">
        <v>486</v>
      </c>
      <c r="U10" s="74">
        <v>2</v>
      </c>
      <c r="V10" s="293"/>
      <c r="W10" s="281"/>
      <c r="X10" s="281" t="s">
        <v>0</v>
      </c>
      <c r="Y10" s="281"/>
      <c r="Z10" s="281"/>
      <c r="AA10" s="281"/>
      <c r="AB10" s="281"/>
    </row>
    <row r="11" spans="2:28" ht="36" x14ac:dyDescent="0.35">
      <c r="B11" s="80"/>
      <c r="C11" s="203" t="s">
        <v>485</v>
      </c>
      <c r="D11" s="340">
        <v>30033.119999999999</v>
      </c>
      <c r="E11" s="340">
        <v>4978.9400000000005</v>
      </c>
      <c r="F11" s="340">
        <v>6628.4399999999987</v>
      </c>
      <c r="G11" s="340"/>
      <c r="H11" s="340">
        <v>2608.56</v>
      </c>
      <c r="I11" s="340">
        <v>2608.56</v>
      </c>
      <c r="J11" s="340">
        <v>41640.5</v>
      </c>
      <c r="K11" s="340">
        <v>11731.699199999999</v>
      </c>
      <c r="L11" s="364">
        <v>0</v>
      </c>
      <c r="M11" s="80" t="s">
        <v>387</v>
      </c>
      <c r="N11" s="80" t="s">
        <v>365</v>
      </c>
      <c r="O11" s="164">
        <v>36913</v>
      </c>
      <c r="P11" s="164"/>
      <c r="Q11" s="80">
        <v>1734</v>
      </c>
      <c r="R11" s="80">
        <v>100</v>
      </c>
      <c r="S11" s="164"/>
      <c r="T11" s="258" t="s">
        <v>486</v>
      </c>
      <c r="U11" s="258">
        <v>2</v>
      </c>
      <c r="V11" s="203"/>
      <c r="W11" s="261"/>
      <c r="X11" s="261"/>
      <c r="Y11" s="261"/>
      <c r="Z11" s="261"/>
      <c r="AA11" s="261"/>
      <c r="AB11" s="261"/>
    </row>
    <row r="12" spans="2:28" ht="36" x14ac:dyDescent="0.35">
      <c r="B12" s="80"/>
      <c r="C12" s="203" t="s">
        <v>485</v>
      </c>
      <c r="D12" s="340">
        <v>30740.639999999999</v>
      </c>
      <c r="E12" s="340">
        <v>827.44</v>
      </c>
      <c r="F12" s="340">
        <v>6628.4400000000023</v>
      </c>
      <c r="G12" s="340"/>
      <c r="H12" s="340">
        <v>2645.52</v>
      </c>
      <c r="I12" s="340">
        <v>2645.52</v>
      </c>
      <c r="J12" s="340">
        <v>38196.520000000004</v>
      </c>
      <c r="K12" s="340">
        <v>11958.105600000001</v>
      </c>
      <c r="L12" s="364">
        <v>0</v>
      </c>
      <c r="M12" s="80" t="s">
        <v>387</v>
      </c>
      <c r="N12" s="80" t="s">
        <v>365</v>
      </c>
      <c r="O12" s="164">
        <v>33695</v>
      </c>
      <c r="P12" s="164"/>
      <c r="Q12" s="80">
        <v>1734</v>
      </c>
      <c r="R12" s="80">
        <v>100</v>
      </c>
      <c r="S12" s="164"/>
      <c r="T12" s="258" t="s">
        <v>486</v>
      </c>
      <c r="U12" s="258">
        <v>2</v>
      </c>
      <c r="V12" s="203"/>
      <c r="W12" s="261"/>
      <c r="X12" s="261"/>
      <c r="Y12" s="261"/>
      <c r="Z12" s="261"/>
      <c r="AA12" s="261"/>
      <c r="AB12" s="261"/>
    </row>
    <row r="13" spans="2:28" ht="36" x14ac:dyDescent="0.35">
      <c r="B13" s="80"/>
      <c r="C13" s="203" t="s">
        <v>485</v>
      </c>
      <c r="D13" s="340">
        <v>33783.82</v>
      </c>
      <c r="E13" s="340">
        <v>12150.43</v>
      </c>
      <c r="F13" s="340">
        <v>34089.620000000003</v>
      </c>
      <c r="G13" s="340"/>
      <c r="H13" s="340">
        <v>4252.9800000000005</v>
      </c>
      <c r="I13" s="340">
        <v>4252.9800000000005</v>
      </c>
      <c r="J13" s="340">
        <v>80023.87</v>
      </c>
      <c r="K13" s="340">
        <v>18126.72</v>
      </c>
      <c r="L13" s="364">
        <v>5500</v>
      </c>
      <c r="M13" s="80" t="s">
        <v>387</v>
      </c>
      <c r="N13" s="80" t="s">
        <v>365</v>
      </c>
      <c r="O13" s="164">
        <v>36689</v>
      </c>
      <c r="P13" s="164"/>
      <c r="Q13" s="80">
        <v>1734</v>
      </c>
      <c r="R13" s="80">
        <v>100</v>
      </c>
      <c r="S13" s="164"/>
      <c r="T13" s="258" t="s">
        <v>493</v>
      </c>
      <c r="U13" s="258">
        <v>1</v>
      </c>
      <c r="V13" s="203"/>
      <c r="W13" s="261"/>
      <c r="X13" s="261"/>
      <c r="Y13" s="261"/>
      <c r="Z13" s="261"/>
      <c r="AA13" s="261"/>
      <c r="AB13" s="261"/>
    </row>
    <row r="14" spans="2:28" ht="36" x14ac:dyDescent="0.35">
      <c r="B14" s="80"/>
      <c r="C14" s="203" t="s">
        <v>485</v>
      </c>
      <c r="D14" s="340">
        <v>29927.379999999997</v>
      </c>
      <c r="E14" s="340">
        <v>3528.85</v>
      </c>
      <c r="F14" s="340">
        <v>6628.4400000000023</v>
      </c>
      <c r="G14" s="340"/>
      <c r="H14" s="340">
        <v>2587.4299999999998</v>
      </c>
      <c r="I14" s="340">
        <v>2587.4299999999998</v>
      </c>
      <c r="J14" s="340">
        <v>40084.67</v>
      </c>
      <c r="K14" s="340">
        <v>11697.8624</v>
      </c>
      <c r="L14" s="364">
        <v>0</v>
      </c>
      <c r="M14" s="80" t="s">
        <v>387</v>
      </c>
      <c r="N14" s="80" t="s">
        <v>365</v>
      </c>
      <c r="O14" s="164">
        <v>38481</v>
      </c>
      <c r="P14" s="164"/>
      <c r="Q14" s="80">
        <v>1734</v>
      </c>
      <c r="R14" s="80">
        <v>100</v>
      </c>
      <c r="S14" s="164"/>
      <c r="T14" s="258" t="s">
        <v>486</v>
      </c>
      <c r="U14" s="258">
        <v>2</v>
      </c>
      <c r="V14" s="203"/>
      <c r="W14" s="261"/>
      <c r="X14" s="261"/>
      <c r="Y14" s="261"/>
      <c r="Z14" s="261"/>
      <c r="AA14" s="261"/>
      <c r="AB14" s="261"/>
    </row>
    <row r="15" spans="2:28" ht="36" x14ac:dyDescent="0.35">
      <c r="B15" s="80"/>
      <c r="C15" s="203" t="s">
        <v>485</v>
      </c>
      <c r="D15" s="340">
        <v>28359.8</v>
      </c>
      <c r="E15" s="340">
        <v>1155.44</v>
      </c>
      <c r="F15" s="340">
        <v>6230.7000000000007</v>
      </c>
      <c r="G15" s="340"/>
      <c r="H15" s="340">
        <v>2447.0499999999997</v>
      </c>
      <c r="I15" s="340">
        <v>2447.0499999999997</v>
      </c>
      <c r="J15" s="340">
        <v>35745.94</v>
      </c>
      <c r="K15" s="340">
        <v>11068.960000000001</v>
      </c>
      <c r="L15" s="364">
        <v>0</v>
      </c>
      <c r="M15" s="80" t="s">
        <v>391</v>
      </c>
      <c r="N15" s="80" t="s">
        <v>365</v>
      </c>
      <c r="O15" s="164">
        <v>37165</v>
      </c>
      <c r="P15" s="164"/>
      <c r="Q15" s="80">
        <v>1734</v>
      </c>
      <c r="R15" s="80">
        <v>94</v>
      </c>
      <c r="S15" s="164"/>
      <c r="T15" s="258" t="s">
        <v>486</v>
      </c>
      <c r="U15" s="258">
        <v>2</v>
      </c>
      <c r="V15" s="203"/>
      <c r="W15" s="261"/>
      <c r="X15" s="261"/>
      <c r="Y15" s="261"/>
      <c r="Z15" s="261"/>
      <c r="AA15" s="261"/>
      <c r="AB15" s="261"/>
    </row>
    <row r="16" spans="2:28" ht="36" x14ac:dyDescent="0.35">
      <c r="B16" s="80"/>
      <c r="C16" s="203" t="s">
        <v>485</v>
      </c>
      <c r="D16" s="340">
        <v>23826.74</v>
      </c>
      <c r="E16" s="340">
        <v>362.22</v>
      </c>
      <c r="F16" s="340">
        <v>386.81999999999971</v>
      </c>
      <c r="G16" s="340"/>
      <c r="H16" s="340">
        <v>1705.8400000000001</v>
      </c>
      <c r="I16" s="340">
        <v>1705.8400000000001</v>
      </c>
      <c r="J16" s="340">
        <v>24575.780000000002</v>
      </c>
      <c r="K16" s="340">
        <v>7748.3392000000003</v>
      </c>
      <c r="L16" s="367">
        <v>0</v>
      </c>
      <c r="M16" s="340" t="s">
        <v>387</v>
      </c>
      <c r="N16" s="80" t="s">
        <v>365</v>
      </c>
      <c r="O16" s="164">
        <v>34516</v>
      </c>
      <c r="P16" s="164"/>
      <c r="Q16" s="80">
        <v>1734</v>
      </c>
      <c r="R16" s="80">
        <v>100</v>
      </c>
      <c r="S16" s="164"/>
      <c r="T16" s="258" t="s">
        <v>487</v>
      </c>
      <c r="U16" s="258">
        <v>4</v>
      </c>
      <c r="V16" s="368"/>
      <c r="W16" s="261"/>
      <c r="X16" s="261"/>
      <c r="Y16" s="261"/>
      <c r="Z16" s="261"/>
      <c r="AA16" s="261"/>
      <c r="AB16" s="261"/>
    </row>
    <row r="17" spans="2:28" ht="36" x14ac:dyDescent="0.35">
      <c r="B17" s="80"/>
      <c r="C17" s="203" t="s">
        <v>485</v>
      </c>
      <c r="D17" s="340">
        <v>24435.399999999998</v>
      </c>
      <c r="E17" s="340">
        <v>2864.43</v>
      </c>
      <c r="F17" s="340">
        <v>5369</v>
      </c>
      <c r="G17" s="340"/>
      <c r="H17" s="340">
        <v>2108.64</v>
      </c>
      <c r="I17" s="340">
        <v>2108.64</v>
      </c>
      <c r="J17" s="340">
        <v>32668.829999999998</v>
      </c>
      <c r="K17" s="340">
        <v>9537.4079999999994</v>
      </c>
      <c r="L17" s="367">
        <v>0</v>
      </c>
      <c r="M17" s="340" t="s">
        <v>391</v>
      </c>
      <c r="N17" s="80" t="s">
        <v>365</v>
      </c>
      <c r="O17" s="164">
        <v>37212</v>
      </c>
      <c r="P17" s="164"/>
      <c r="Q17" s="80">
        <v>1734</v>
      </c>
      <c r="R17" s="80">
        <v>81</v>
      </c>
      <c r="S17" s="164"/>
      <c r="T17" s="258" t="s">
        <v>486</v>
      </c>
      <c r="U17" s="258">
        <v>2</v>
      </c>
      <c r="V17" s="368"/>
      <c r="W17" s="261"/>
      <c r="X17" s="261"/>
      <c r="Y17" s="261"/>
      <c r="Z17" s="261"/>
      <c r="AA17" s="261"/>
      <c r="AB17" s="261"/>
    </row>
    <row r="18" spans="2:28" ht="36" x14ac:dyDescent="0.35">
      <c r="B18" s="80"/>
      <c r="C18" s="203" t="s">
        <v>485</v>
      </c>
      <c r="D18" s="340">
        <v>17484.919999999998</v>
      </c>
      <c r="E18" s="340">
        <v>800.92</v>
      </c>
      <c r="F18" s="340">
        <v>290.08000000000175</v>
      </c>
      <c r="G18" s="340"/>
      <c r="H18" s="340">
        <v>1235.82</v>
      </c>
      <c r="I18" s="340">
        <v>1235.82</v>
      </c>
      <c r="J18" s="340">
        <v>18575.919999999998</v>
      </c>
      <c r="K18" s="340">
        <v>5688</v>
      </c>
      <c r="L18" s="367">
        <v>0</v>
      </c>
      <c r="M18" s="340" t="s">
        <v>391</v>
      </c>
      <c r="N18" s="80" t="s">
        <v>365</v>
      </c>
      <c r="O18" s="164">
        <v>38559</v>
      </c>
      <c r="P18" s="164"/>
      <c r="Q18" s="80">
        <v>1734</v>
      </c>
      <c r="R18" s="80">
        <v>75</v>
      </c>
      <c r="S18" s="164"/>
      <c r="T18" s="258" t="s">
        <v>487</v>
      </c>
      <c r="U18" s="258">
        <v>4</v>
      </c>
      <c r="V18" s="368"/>
      <c r="W18" s="261"/>
      <c r="X18" s="261"/>
      <c r="Y18" s="261"/>
      <c r="Z18" s="261"/>
      <c r="AA18" s="261"/>
      <c r="AB18" s="261"/>
    </row>
    <row r="19" spans="2:28" ht="36" x14ac:dyDescent="0.35">
      <c r="B19" s="80"/>
      <c r="C19" s="203" t="s">
        <v>485</v>
      </c>
      <c r="D19" s="340">
        <v>30740.639999999999</v>
      </c>
      <c r="E19" s="340">
        <v>1911.78</v>
      </c>
      <c r="F19" s="340">
        <v>6628.4400000000023</v>
      </c>
      <c r="G19" s="340"/>
      <c r="H19" s="340">
        <v>2645.52</v>
      </c>
      <c r="I19" s="340">
        <v>2645.52</v>
      </c>
      <c r="J19" s="340">
        <v>39280.86</v>
      </c>
      <c r="K19" s="340">
        <v>11958.105600000001</v>
      </c>
      <c r="L19" s="367">
        <v>0</v>
      </c>
      <c r="M19" s="340" t="s">
        <v>387</v>
      </c>
      <c r="N19" s="80" t="s">
        <v>365</v>
      </c>
      <c r="O19" s="164">
        <v>33451</v>
      </c>
      <c r="P19" s="164"/>
      <c r="Q19" s="80">
        <v>1734</v>
      </c>
      <c r="R19" s="80">
        <v>100</v>
      </c>
      <c r="S19" s="164"/>
      <c r="T19" s="258" t="s">
        <v>486</v>
      </c>
      <c r="U19" s="258">
        <v>2</v>
      </c>
      <c r="V19" s="368"/>
      <c r="W19" s="261"/>
      <c r="X19" s="261"/>
      <c r="Y19" s="261"/>
      <c r="Z19" s="261"/>
      <c r="AA19" s="261"/>
      <c r="AB19" s="261"/>
    </row>
    <row r="20" spans="2:28" ht="36" x14ac:dyDescent="0.35">
      <c r="B20" s="80"/>
      <c r="C20" s="203" t="s">
        <v>485</v>
      </c>
      <c r="D20" s="340">
        <v>30290.719999999998</v>
      </c>
      <c r="E20" s="340">
        <v>2806.61</v>
      </c>
      <c r="F20" s="340">
        <v>6628.4399999999987</v>
      </c>
      <c r="G20" s="340"/>
      <c r="H20" s="340">
        <v>2603.2599999999998</v>
      </c>
      <c r="I20" s="340">
        <v>2603.2599999999998</v>
      </c>
      <c r="J20" s="340">
        <v>39725.769999999997</v>
      </c>
      <c r="K20" s="340">
        <v>11814.1312</v>
      </c>
      <c r="L20" s="367">
        <v>0</v>
      </c>
      <c r="M20" s="340" t="s">
        <v>387</v>
      </c>
      <c r="N20" s="80" t="s">
        <v>365</v>
      </c>
      <c r="O20" s="164">
        <v>37405</v>
      </c>
      <c r="P20" s="164"/>
      <c r="Q20" s="80">
        <v>1734</v>
      </c>
      <c r="R20" s="80">
        <v>100</v>
      </c>
      <c r="S20" s="164"/>
      <c r="T20" s="258" t="s">
        <v>486</v>
      </c>
      <c r="U20" s="258">
        <v>2</v>
      </c>
      <c r="V20" s="368"/>
      <c r="W20" s="261"/>
      <c r="X20" s="261"/>
      <c r="Y20" s="261"/>
      <c r="Z20" s="261"/>
      <c r="AA20" s="261"/>
      <c r="AB20" s="261"/>
    </row>
    <row r="21" spans="2:28" ht="36" x14ac:dyDescent="0.35">
      <c r="B21" s="80"/>
      <c r="C21" s="203" t="s">
        <v>485</v>
      </c>
      <c r="D21" s="340">
        <v>23826.74</v>
      </c>
      <c r="E21" s="340">
        <v>695.29</v>
      </c>
      <c r="F21" s="340">
        <v>386.81999999999971</v>
      </c>
      <c r="G21" s="340"/>
      <c r="H21" s="340">
        <v>1705.8400000000001</v>
      </c>
      <c r="I21" s="340">
        <v>1705.8400000000001</v>
      </c>
      <c r="J21" s="340">
        <v>24908.850000000002</v>
      </c>
      <c r="K21" s="340">
        <v>7748.3392000000003</v>
      </c>
      <c r="L21" s="367">
        <v>0</v>
      </c>
      <c r="M21" s="340" t="s">
        <v>387</v>
      </c>
      <c r="N21" s="80" t="s">
        <v>365</v>
      </c>
      <c r="O21" s="164">
        <v>33420</v>
      </c>
      <c r="P21" s="164"/>
      <c r="Q21" s="80">
        <v>1734</v>
      </c>
      <c r="R21" s="80">
        <v>100</v>
      </c>
      <c r="S21" s="164"/>
      <c r="T21" s="258" t="s">
        <v>487</v>
      </c>
      <c r="U21" s="258">
        <v>4</v>
      </c>
      <c r="V21" s="368"/>
      <c r="W21" s="261"/>
      <c r="X21" s="261"/>
      <c r="Y21" s="261"/>
      <c r="Z21" s="261"/>
      <c r="AA21" s="261"/>
      <c r="AB21" s="261"/>
    </row>
    <row r="22" spans="2:28" ht="36" x14ac:dyDescent="0.35">
      <c r="B22" s="80"/>
      <c r="C22" s="203" t="s">
        <v>485</v>
      </c>
      <c r="D22" s="340">
        <v>19518.240000000002</v>
      </c>
      <c r="E22" s="340">
        <v>1329.9199999999998</v>
      </c>
      <c r="F22" s="340">
        <v>322.97999999999956</v>
      </c>
      <c r="G22" s="340"/>
      <c r="H22" s="340">
        <v>1393.5300000000002</v>
      </c>
      <c r="I22" s="340">
        <v>1393.5300000000002</v>
      </c>
      <c r="J22" s="340">
        <v>21171.14</v>
      </c>
      <c r="K22" s="340">
        <v>6349.1904000000004</v>
      </c>
      <c r="L22" s="367">
        <v>0</v>
      </c>
      <c r="M22" s="340" t="s">
        <v>391</v>
      </c>
      <c r="N22" s="80" t="s">
        <v>365</v>
      </c>
      <c r="O22" s="164">
        <v>37043</v>
      </c>
      <c r="P22" s="164"/>
      <c r="Q22" s="80">
        <v>1734</v>
      </c>
      <c r="R22" s="80">
        <v>83.5</v>
      </c>
      <c r="S22" s="164"/>
      <c r="T22" s="258" t="s">
        <v>487</v>
      </c>
      <c r="U22" s="258">
        <v>4</v>
      </c>
      <c r="V22" s="368"/>
      <c r="W22" s="261"/>
      <c r="X22" s="261"/>
      <c r="Y22" s="261"/>
      <c r="Z22" s="261"/>
      <c r="AA22" s="261"/>
      <c r="AB22" s="261"/>
    </row>
    <row r="23" spans="2:28" ht="36" x14ac:dyDescent="0.35">
      <c r="B23" s="80"/>
      <c r="C23" s="203" t="s">
        <v>485</v>
      </c>
      <c r="D23" s="340">
        <v>27912.639999999999</v>
      </c>
      <c r="E23" s="340">
        <v>1924.8100000000002</v>
      </c>
      <c r="F23" s="340">
        <v>6131.3000000000029</v>
      </c>
      <c r="G23" s="340"/>
      <c r="H23" s="340">
        <v>2408.0099999999998</v>
      </c>
      <c r="I23" s="340">
        <v>2408.0099999999998</v>
      </c>
      <c r="J23" s="340">
        <v>35968.75</v>
      </c>
      <c r="K23" s="340">
        <v>10894.060800000001</v>
      </c>
      <c r="L23" s="367">
        <v>0</v>
      </c>
      <c r="M23" s="340" t="s">
        <v>391</v>
      </c>
      <c r="N23" s="80" t="s">
        <v>365</v>
      </c>
      <c r="O23" s="164">
        <v>37382</v>
      </c>
      <c r="P23" s="164"/>
      <c r="Q23" s="80">
        <v>1734</v>
      </c>
      <c r="R23" s="80">
        <v>92.5</v>
      </c>
      <c r="S23" s="164"/>
      <c r="T23" s="258" t="s">
        <v>486</v>
      </c>
      <c r="U23" s="258">
        <v>2</v>
      </c>
      <c r="V23" s="368"/>
      <c r="W23" s="261"/>
      <c r="X23" s="261"/>
      <c r="Y23" s="261"/>
      <c r="Z23" s="261"/>
      <c r="AA23" s="261"/>
      <c r="AB23" s="261"/>
    </row>
    <row r="24" spans="2:28" ht="36" x14ac:dyDescent="0.35">
      <c r="B24" s="80"/>
      <c r="C24" s="203" t="s">
        <v>485</v>
      </c>
      <c r="D24" s="340">
        <v>30740.639999999999</v>
      </c>
      <c r="E24" s="340">
        <v>3277.05</v>
      </c>
      <c r="F24" s="340">
        <v>6628.4400000000023</v>
      </c>
      <c r="G24" s="340"/>
      <c r="H24" s="340">
        <v>2645.52</v>
      </c>
      <c r="I24" s="340">
        <v>2645.52</v>
      </c>
      <c r="J24" s="340">
        <v>40646.130000000005</v>
      </c>
      <c r="K24" s="340">
        <v>11958.105600000001</v>
      </c>
      <c r="L24" s="367">
        <v>0</v>
      </c>
      <c r="M24" s="340" t="s">
        <v>387</v>
      </c>
      <c r="N24" s="80" t="s">
        <v>365</v>
      </c>
      <c r="O24" s="164">
        <v>33161</v>
      </c>
      <c r="P24" s="164"/>
      <c r="Q24" s="80">
        <v>1734</v>
      </c>
      <c r="R24" s="80">
        <v>100</v>
      </c>
      <c r="S24" s="164"/>
      <c r="T24" s="258" t="s">
        <v>486</v>
      </c>
      <c r="U24" s="258">
        <v>2</v>
      </c>
      <c r="V24" s="368"/>
      <c r="W24" s="261"/>
      <c r="X24" s="261"/>
      <c r="Y24" s="261"/>
      <c r="Z24" s="261"/>
      <c r="AA24" s="261"/>
      <c r="AB24" s="261"/>
    </row>
    <row r="25" spans="2:28" ht="36" x14ac:dyDescent="0.35">
      <c r="B25" s="80"/>
      <c r="C25" s="203" t="s">
        <v>485</v>
      </c>
      <c r="D25" s="340">
        <v>23034.14</v>
      </c>
      <c r="E25" s="340">
        <v>1470.0299999999997</v>
      </c>
      <c r="F25" s="340">
        <v>4971.4000000000015</v>
      </c>
      <c r="G25" s="340"/>
      <c r="H25" s="340">
        <v>1956.45</v>
      </c>
      <c r="I25" s="340">
        <v>1956.45</v>
      </c>
      <c r="J25" s="340">
        <v>29475.57</v>
      </c>
      <c r="K25" s="340">
        <v>8961.7728000000006</v>
      </c>
      <c r="L25" s="367">
        <v>0</v>
      </c>
      <c r="M25" s="340" t="s">
        <v>387</v>
      </c>
      <c r="N25" s="115" t="s">
        <v>365</v>
      </c>
      <c r="O25" s="164">
        <v>36957</v>
      </c>
      <c r="P25" s="164"/>
      <c r="Q25" s="80">
        <v>1734</v>
      </c>
      <c r="R25" s="80">
        <v>75</v>
      </c>
      <c r="S25" s="164">
        <v>47054</v>
      </c>
      <c r="T25" s="258" t="s">
        <v>486</v>
      </c>
      <c r="U25" s="258">
        <v>2</v>
      </c>
      <c r="V25" s="368"/>
      <c r="W25" s="261"/>
      <c r="X25" s="261"/>
      <c r="Y25" s="261"/>
      <c r="Z25" s="261"/>
      <c r="AA25" s="261"/>
      <c r="AB25" s="261"/>
    </row>
    <row r="26" spans="2:28" ht="36" x14ac:dyDescent="0.35">
      <c r="B26" s="80"/>
      <c r="C26" s="203" t="s">
        <v>485</v>
      </c>
      <c r="D26" s="340">
        <v>22892.42</v>
      </c>
      <c r="E26" s="340">
        <v>1143.1200000000001</v>
      </c>
      <c r="F26" s="340">
        <v>4971.4000000000015</v>
      </c>
      <c r="G26" s="340"/>
      <c r="H26" s="340">
        <v>1956.45</v>
      </c>
      <c r="I26" s="340">
        <v>1956.45</v>
      </c>
      <c r="J26" s="340">
        <v>29006.94</v>
      </c>
      <c r="K26" s="340">
        <v>8916.4223999999995</v>
      </c>
      <c r="L26" s="367">
        <v>0</v>
      </c>
      <c r="M26" s="340" t="s">
        <v>391</v>
      </c>
      <c r="N26" s="80" t="s">
        <v>365</v>
      </c>
      <c r="O26" s="164">
        <v>36955</v>
      </c>
      <c r="P26" s="164"/>
      <c r="Q26" s="80">
        <v>1734</v>
      </c>
      <c r="R26" s="80">
        <v>75</v>
      </c>
      <c r="S26" s="164"/>
      <c r="T26" s="258" t="s">
        <v>486</v>
      </c>
      <c r="U26" s="258">
        <v>2</v>
      </c>
      <c r="V26" s="368"/>
      <c r="W26" s="261"/>
      <c r="X26" s="261"/>
      <c r="Y26" s="261"/>
      <c r="Z26" s="261"/>
      <c r="AA26" s="261"/>
      <c r="AB26" s="261"/>
    </row>
    <row r="27" spans="2:28" ht="36" x14ac:dyDescent="0.35">
      <c r="B27" s="80"/>
      <c r="C27" s="203" t="s">
        <v>485</v>
      </c>
      <c r="D27" s="340">
        <v>30370.76</v>
      </c>
      <c r="E27" s="340">
        <v>1598.3500000000001</v>
      </c>
      <c r="F27" s="340">
        <v>6628.4399999999987</v>
      </c>
      <c r="G27" s="340"/>
      <c r="H27" s="340">
        <v>2619.0999999999995</v>
      </c>
      <c r="I27" s="340">
        <v>2619.0999999999995</v>
      </c>
      <c r="J27" s="340">
        <v>38597.549999999996</v>
      </c>
      <c r="K27" s="340">
        <v>11839.743999999999</v>
      </c>
      <c r="L27" s="367">
        <v>0</v>
      </c>
      <c r="M27" s="340" t="s">
        <v>387</v>
      </c>
      <c r="N27" s="80" t="s">
        <v>365</v>
      </c>
      <c r="O27" s="164">
        <v>36069</v>
      </c>
      <c r="P27" s="164"/>
      <c r="Q27" s="80">
        <v>1734</v>
      </c>
      <c r="R27" s="80">
        <v>100</v>
      </c>
      <c r="S27" s="164"/>
      <c r="T27" s="258" t="s">
        <v>486</v>
      </c>
      <c r="U27" s="258">
        <v>2</v>
      </c>
      <c r="V27" s="368"/>
      <c r="W27" s="261"/>
      <c r="X27" s="261"/>
      <c r="Y27" s="261"/>
      <c r="Z27" s="261"/>
      <c r="AA27" s="261"/>
      <c r="AB27" s="261"/>
    </row>
    <row r="28" spans="2:28" ht="36" x14ac:dyDescent="0.35">
      <c r="B28" s="80"/>
      <c r="C28" s="203" t="s">
        <v>485</v>
      </c>
      <c r="D28" s="340">
        <v>22435.920000000002</v>
      </c>
      <c r="E28" s="340">
        <v>573.17000000000007</v>
      </c>
      <c r="F28" s="340">
        <v>4838.8199999999961</v>
      </c>
      <c r="G28" s="340"/>
      <c r="H28" s="340">
        <v>1904.25</v>
      </c>
      <c r="I28" s="340">
        <v>1904.25</v>
      </c>
      <c r="J28" s="340">
        <v>27847.909999999996</v>
      </c>
      <c r="K28" s="340">
        <v>8727.9167999999991</v>
      </c>
      <c r="L28" s="367">
        <v>0</v>
      </c>
      <c r="M28" s="340" t="s">
        <v>391</v>
      </c>
      <c r="N28" s="80" t="s">
        <v>365</v>
      </c>
      <c r="O28" s="164">
        <v>36928</v>
      </c>
      <c r="P28" s="164"/>
      <c r="Q28" s="80">
        <v>1734</v>
      </c>
      <c r="R28" s="80">
        <v>73</v>
      </c>
      <c r="S28" s="164"/>
      <c r="T28" s="258" t="s">
        <v>486</v>
      </c>
      <c r="U28" s="258">
        <v>2</v>
      </c>
      <c r="V28" s="368"/>
      <c r="W28" s="261"/>
      <c r="X28" s="261"/>
      <c r="Y28" s="261"/>
      <c r="Z28" s="261"/>
      <c r="AA28" s="261"/>
      <c r="AB28" s="261"/>
    </row>
    <row r="29" spans="2:28" ht="36" x14ac:dyDescent="0.35">
      <c r="B29" s="80"/>
      <c r="C29" s="203" t="s">
        <v>485</v>
      </c>
      <c r="D29" s="340">
        <v>29879.019999999997</v>
      </c>
      <c r="E29" s="340">
        <v>2222.1999999999998</v>
      </c>
      <c r="F29" s="340">
        <v>6628.4400000000023</v>
      </c>
      <c r="G29" s="340"/>
      <c r="H29" s="340">
        <v>2587.4299999999998</v>
      </c>
      <c r="I29" s="340">
        <v>2587.4299999999998</v>
      </c>
      <c r="J29" s="340">
        <v>38729.659999999996</v>
      </c>
      <c r="K29" s="340">
        <v>11682.387199999999</v>
      </c>
      <c r="L29" s="367">
        <v>0</v>
      </c>
      <c r="M29" s="340" t="s">
        <v>387</v>
      </c>
      <c r="N29" s="80" t="s">
        <v>365</v>
      </c>
      <c r="O29" s="164">
        <v>38453</v>
      </c>
      <c r="P29" s="164"/>
      <c r="Q29" s="80">
        <v>1734</v>
      </c>
      <c r="R29" s="80">
        <v>100</v>
      </c>
      <c r="S29" s="164"/>
      <c r="T29" s="258" t="s">
        <v>486</v>
      </c>
      <c r="U29" s="258">
        <v>2</v>
      </c>
      <c r="V29" s="368"/>
      <c r="W29" s="261"/>
      <c r="X29" s="261"/>
      <c r="Y29" s="261"/>
      <c r="Z29" s="261"/>
      <c r="AA29" s="261"/>
      <c r="AB29" s="261"/>
    </row>
    <row r="30" spans="2:28" ht="36" x14ac:dyDescent="0.35">
      <c r="B30" s="80"/>
      <c r="C30" s="203" t="s">
        <v>485</v>
      </c>
      <c r="D30" s="340">
        <v>29737.3</v>
      </c>
      <c r="E30" s="340">
        <v>2469.46</v>
      </c>
      <c r="F30" s="340">
        <v>6628.4399999999987</v>
      </c>
      <c r="G30" s="340"/>
      <c r="H30" s="340">
        <v>2587.4299999999998</v>
      </c>
      <c r="I30" s="340">
        <v>2587.4299999999998</v>
      </c>
      <c r="J30" s="340">
        <v>38835.199999999997</v>
      </c>
      <c r="K30" s="340">
        <v>11637.0368</v>
      </c>
      <c r="L30" s="367">
        <v>0</v>
      </c>
      <c r="M30" s="340" t="s">
        <v>387</v>
      </c>
      <c r="N30" s="80" t="s">
        <v>365</v>
      </c>
      <c r="O30" s="164">
        <v>38376</v>
      </c>
      <c r="P30" s="164"/>
      <c r="Q30" s="80">
        <v>1734</v>
      </c>
      <c r="R30" s="80">
        <v>100</v>
      </c>
      <c r="S30" s="164"/>
      <c r="T30" s="258" t="s">
        <v>486</v>
      </c>
      <c r="U30" s="258">
        <v>2</v>
      </c>
      <c r="V30" s="368"/>
      <c r="W30" s="261"/>
      <c r="X30" s="261"/>
      <c r="Y30" s="261"/>
      <c r="Z30" s="261"/>
      <c r="AA30" s="261"/>
      <c r="AB30" s="261"/>
    </row>
    <row r="31" spans="2:28" ht="36" x14ac:dyDescent="0.35">
      <c r="B31" s="80"/>
      <c r="C31" s="203" t="s">
        <v>485</v>
      </c>
      <c r="D31" s="340">
        <v>21435.759999999998</v>
      </c>
      <c r="E31" s="340">
        <v>1472.82</v>
      </c>
      <c r="F31" s="340">
        <v>4639.880000000001</v>
      </c>
      <c r="G31" s="340"/>
      <c r="H31" s="340">
        <v>1818.6000000000001</v>
      </c>
      <c r="I31" s="340">
        <v>1818.6000000000001</v>
      </c>
      <c r="J31" s="340">
        <v>27548.46</v>
      </c>
      <c r="K31" s="340">
        <v>8344.2047999999995</v>
      </c>
      <c r="L31" s="367">
        <v>0</v>
      </c>
      <c r="M31" s="340" t="s">
        <v>387</v>
      </c>
      <c r="N31" s="80" t="s">
        <v>365</v>
      </c>
      <c r="O31" s="164">
        <v>37543</v>
      </c>
      <c r="P31" s="164"/>
      <c r="Q31" s="80">
        <v>1734</v>
      </c>
      <c r="R31" s="80">
        <v>70</v>
      </c>
      <c r="S31" s="164">
        <v>47133</v>
      </c>
      <c r="T31" s="258" t="s">
        <v>486</v>
      </c>
      <c r="U31" s="258">
        <v>2</v>
      </c>
      <c r="V31" s="368"/>
      <c r="W31" s="261"/>
      <c r="X31" s="261"/>
      <c r="Y31" s="261"/>
      <c r="Z31" s="261"/>
      <c r="AA31" s="261"/>
      <c r="AB31" s="261"/>
    </row>
    <row r="32" spans="2:28" ht="36" x14ac:dyDescent="0.35">
      <c r="B32" s="80"/>
      <c r="C32" s="203" t="s">
        <v>485</v>
      </c>
      <c r="D32" s="340">
        <v>24727.64</v>
      </c>
      <c r="E32" s="340">
        <v>1469.6299999999999</v>
      </c>
      <c r="F32" s="340">
        <v>0</v>
      </c>
      <c r="G32" s="340"/>
      <c r="H32" s="340">
        <v>1766.26</v>
      </c>
      <c r="I32" s="340">
        <v>1766.26</v>
      </c>
      <c r="J32" s="340">
        <v>26197.27</v>
      </c>
      <c r="K32" s="340">
        <v>7912.8447999999999</v>
      </c>
      <c r="L32" s="367">
        <v>0</v>
      </c>
      <c r="M32" s="340" t="s">
        <v>387</v>
      </c>
      <c r="N32" s="80" t="s">
        <v>365</v>
      </c>
      <c r="O32" s="164">
        <v>35832</v>
      </c>
      <c r="P32" s="164"/>
      <c r="Q32" s="80">
        <v>1734</v>
      </c>
      <c r="R32" s="80">
        <v>100</v>
      </c>
      <c r="S32" s="164"/>
      <c r="T32" s="258" t="s">
        <v>583</v>
      </c>
      <c r="U32" s="258">
        <v>8</v>
      </c>
      <c r="V32" s="368"/>
      <c r="W32" s="261"/>
      <c r="X32" s="261"/>
      <c r="Y32" s="261"/>
      <c r="Z32" s="261"/>
      <c r="AA32" s="261"/>
      <c r="AB32" s="261"/>
    </row>
    <row r="33" spans="1:28" ht="36" x14ac:dyDescent="0.35">
      <c r="B33" s="80"/>
      <c r="C33" s="203" t="s">
        <v>485</v>
      </c>
      <c r="D33" s="340">
        <v>16831.86</v>
      </c>
      <c r="E33" s="340">
        <v>966.5</v>
      </c>
      <c r="F33" s="340">
        <v>277.47999999999956</v>
      </c>
      <c r="G33" s="340"/>
      <c r="H33" s="340">
        <v>1178.1499999999999</v>
      </c>
      <c r="I33" s="340">
        <v>1178.1499999999999</v>
      </c>
      <c r="J33" s="340">
        <v>18075.84</v>
      </c>
      <c r="K33" s="340">
        <v>5474.9888000000001</v>
      </c>
      <c r="L33" s="367">
        <v>0</v>
      </c>
      <c r="M33" s="340" t="s">
        <v>387</v>
      </c>
      <c r="N33" s="80" t="s">
        <v>365</v>
      </c>
      <c r="O33" s="164">
        <v>38657</v>
      </c>
      <c r="P33" s="164"/>
      <c r="Q33" s="80">
        <v>1734</v>
      </c>
      <c r="R33" s="80">
        <v>71.73</v>
      </c>
      <c r="S33" s="164">
        <v>46106</v>
      </c>
      <c r="T33" s="258" t="s">
        <v>487</v>
      </c>
      <c r="U33" s="258">
        <v>4</v>
      </c>
      <c r="V33" s="368"/>
      <c r="W33" s="261"/>
      <c r="X33" s="261"/>
      <c r="Y33" s="261"/>
      <c r="Z33" s="261"/>
      <c r="AA33" s="261"/>
      <c r="AB33" s="261"/>
    </row>
    <row r="34" spans="1:28" ht="36" x14ac:dyDescent="0.35">
      <c r="B34" s="80"/>
      <c r="C34" s="203" t="s">
        <v>485</v>
      </c>
      <c r="D34" s="340">
        <v>22600.800000000003</v>
      </c>
      <c r="E34" s="340">
        <v>1645.62</v>
      </c>
      <c r="F34" s="340">
        <v>386.81999999999971</v>
      </c>
      <c r="G34" s="340"/>
      <c r="H34" s="340">
        <v>1631.8500000000001</v>
      </c>
      <c r="I34" s="340">
        <v>1631.8500000000001</v>
      </c>
      <c r="J34" s="340">
        <v>24633.24</v>
      </c>
      <c r="K34" s="340">
        <v>7356.0384000000013</v>
      </c>
      <c r="L34" s="367">
        <v>0</v>
      </c>
      <c r="M34" s="340" t="s">
        <v>390</v>
      </c>
      <c r="N34" s="80" t="s">
        <v>365</v>
      </c>
      <c r="O34" s="164">
        <v>39570</v>
      </c>
      <c r="P34" s="164"/>
      <c r="Q34" s="80">
        <v>1734</v>
      </c>
      <c r="R34" s="80">
        <v>100</v>
      </c>
      <c r="S34" s="164"/>
      <c r="T34" s="258" t="s">
        <v>487</v>
      </c>
      <c r="U34" s="258">
        <v>4</v>
      </c>
      <c r="V34" s="368"/>
      <c r="W34" s="261"/>
      <c r="X34" s="261"/>
      <c r="Y34" s="261"/>
      <c r="Z34" s="261"/>
      <c r="AA34" s="261"/>
      <c r="AB34" s="261"/>
    </row>
    <row r="35" spans="1:28" ht="36" x14ac:dyDescent="0.35">
      <c r="B35" s="80"/>
      <c r="C35" s="203" t="s">
        <v>485</v>
      </c>
      <c r="D35" s="340">
        <v>22459.08</v>
      </c>
      <c r="E35" s="340">
        <v>1843.45</v>
      </c>
      <c r="F35" s="340">
        <v>386.81999999999971</v>
      </c>
      <c r="G35" s="340"/>
      <c r="H35" s="340">
        <v>1631.8500000000001</v>
      </c>
      <c r="I35" s="340">
        <v>1631.8500000000001</v>
      </c>
      <c r="J35" s="340">
        <v>24689.350000000002</v>
      </c>
      <c r="K35" s="340">
        <v>7310.688000000001</v>
      </c>
      <c r="L35" s="367">
        <v>0</v>
      </c>
      <c r="M35" s="340" t="s">
        <v>390</v>
      </c>
      <c r="N35" s="80" t="s">
        <v>365</v>
      </c>
      <c r="O35" s="164">
        <v>39494</v>
      </c>
      <c r="P35" s="164"/>
      <c r="Q35" s="80">
        <v>1734</v>
      </c>
      <c r="R35" s="80">
        <v>100</v>
      </c>
      <c r="S35" s="164"/>
      <c r="T35" s="258" t="s">
        <v>487</v>
      </c>
      <c r="U35" s="258">
        <v>4</v>
      </c>
      <c r="V35" s="368"/>
      <c r="W35" s="261"/>
      <c r="X35" s="261"/>
      <c r="Y35" s="261"/>
      <c r="Z35" s="261"/>
      <c r="AA35" s="261"/>
      <c r="AB35" s="261"/>
    </row>
    <row r="36" spans="1:28" ht="36" x14ac:dyDescent="0.35">
      <c r="B36" s="80"/>
      <c r="C36" s="203" t="s">
        <v>485</v>
      </c>
      <c r="D36" s="340">
        <v>33075.46</v>
      </c>
      <c r="E36" s="340">
        <v>7507.3200000000006</v>
      </c>
      <c r="F36" s="340">
        <v>20358.519999999997</v>
      </c>
      <c r="G36" s="340"/>
      <c r="H36" s="340">
        <v>3806.5899999999997</v>
      </c>
      <c r="I36" s="340">
        <v>3806.5899999999997</v>
      </c>
      <c r="J36" s="340">
        <v>60941.299999999996</v>
      </c>
      <c r="K36" s="340">
        <v>17098.873599999999</v>
      </c>
      <c r="L36" s="367">
        <v>1900</v>
      </c>
      <c r="M36" s="340" t="s">
        <v>387</v>
      </c>
      <c r="N36" s="80" t="s">
        <v>365</v>
      </c>
      <c r="O36" s="164">
        <v>39022</v>
      </c>
      <c r="P36" s="164"/>
      <c r="Q36" s="80">
        <v>1734</v>
      </c>
      <c r="R36" s="80">
        <v>100</v>
      </c>
      <c r="S36" s="164"/>
      <c r="T36" s="258" t="s">
        <v>491</v>
      </c>
      <c r="U36" s="258">
        <v>1</v>
      </c>
      <c r="V36" s="368"/>
      <c r="W36" s="261"/>
      <c r="X36" s="261"/>
      <c r="Y36" s="261"/>
      <c r="Z36" s="261"/>
      <c r="AA36" s="261"/>
      <c r="AB36" s="261"/>
    </row>
    <row r="37" spans="1:28" ht="36" x14ac:dyDescent="0.35">
      <c r="B37" s="80"/>
      <c r="C37" s="203" t="s">
        <v>485</v>
      </c>
      <c r="D37" s="340">
        <v>24113.82</v>
      </c>
      <c r="E37" s="340">
        <v>2379.34</v>
      </c>
      <c r="F37" s="340">
        <v>5302.7799999999988</v>
      </c>
      <c r="G37" s="340"/>
      <c r="H37" s="340">
        <v>2057.2400000000002</v>
      </c>
      <c r="I37" s="340">
        <v>2057.2400000000002</v>
      </c>
      <c r="J37" s="340">
        <v>31795.94</v>
      </c>
      <c r="K37" s="340">
        <v>9413.3119999999999</v>
      </c>
      <c r="L37" s="367">
        <v>0</v>
      </c>
      <c r="M37" s="340" t="s">
        <v>390</v>
      </c>
      <c r="N37" s="80" t="s">
        <v>365</v>
      </c>
      <c r="O37" s="164">
        <v>39356</v>
      </c>
      <c r="P37" s="164"/>
      <c r="Q37" s="80">
        <v>1734</v>
      </c>
      <c r="R37" s="80">
        <v>80</v>
      </c>
      <c r="S37" s="164">
        <v>45726</v>
      </c>
      <c r="T37" s="258" t="s">
        <v>486</v>
      </c>
      <c r="U37" s="258">
        <v>2</v>
      </c>
      <c r="V37" s="368"/>
      <c r="W37" s="261"/>
      <c r="X37" s="261"/>
      <c r="Y37" s="261"/>
      <c r="Z37" s="261"/>
      <c r="AA37" s="261"/>
      <c r="AB37" s="261"/>
    </row>
    <row r="38" spans="1:28" ht="36" x14ac:dyDescent="0.35">
      <c r="B38" s="80"/>
      <c r="C38" s="203" t="s">
        <v>485</v>
      </c>
      <c r="D38" s="340">
        <v>22569.260000000002</v>
      </c>
      <c r="E38" s="340">
        <v>2054.1799999999998</v>
      </c>
      <c r="F38" s="340">
        <v>386.81999999999971</v>
      </c>
      <c r="G38" s="340"/>
      <c r="H38" s="340">
        <v>1616.0200000000002</v>
      </c>
      <c r="I38" s="340">
        <v>1616.0200000000002</v>
      </c>
      <c r="J38" s="340">
        <v>25010.260000000002</v>
      </c>
      <c r="K38" s="340">
        <v>7345.9456000000009</v>
      </c>
      <c r="L38" s="367">
        <v>0</v>
      </c>
      <c r="M38" s="340" t="s">
        <v>390</v>
      </c>
      <c r="N38" s="80" t="s">
        <v>365</v>
      </c>
      <c r="O38" s="164">
        <v>40664</v>
      </c>
      <c r="P38" s="164"/>
      <c r="Q38" s="80">
        <v>1734</v>
      </c>
      <c r="R38" s="80">
        <v>100</v>
      </c>
      <c r="S38" s="164"/>
      <c r="T38" s="258" t="s">
        <v>487</v>
      </c>
      <c r="U38" s="258">
        <v>4</v>
      </c>
      <c r="V38" s="368"/>
      <c r="W38" s="261"/>
      <c r="X38" s="261"/>
      <c r="Y38" s="261"/>
      <c r="Z38" s="261"/>
      <c r="AA38" s="261"/>
      <c r="AB38" s="261"/>
    </row>
    <row r="39" spans="1:28" ht="36" x14ac:dyDescent="0.35">
      <c r="B39" s="80"/>
      <c r="C39" s="203" t="s">
        <v>485</v>
      </c>
      <c r="D39" s="340">
        <v>20103.419999999998</v>
      </c>
      <c r="E39" s="340">
        <v>111.85</v>
      </c>
      <c r="F39" s="340">
        <v>336.56000000000131</v>
      </c>
      <c r="G39" s="340"/>
      <c r="H39" s="340">
        <v>1405.93</v>
      </c>
      <c r="I39" s="340">
        <v>1405.93</v>
      </c>
      <c r="J39" s="340">
        <v>20551.829999999998</v>
      </c>
      <c r="K39" s="340">
        <v>6540.7936</v>
      </c>
      <c r="L39" s="367">
        <v>0</v>
      </c>
      <c r="M39" s="340" t="s">
        <v>387</v>
      </c>
      <c r="N39" s="80" t="s">
        <v>365</v>
      </c>
      <c r="O39" s="164">
        <v>40695</v>
      </c>
      <c r="P39" s="164"/>
      <c r="Q39" s="80">
        <v>1734</v>
      </c>
      <c r="R39" s="80">
        <v>87</v>
      </c>
      <c r="S39" s="164">
        <v>46638</v>
      </c>
      <c r="T39" s="258" t="s">
        <v>487</v>
      </c>
      <c r="U39" s="258">
        <v>4</v>
      </c>
      <c r="V39" s="368"/>
      <c r="W39" s="261"/>
      <c r="X39" s="261"/>
      <c r="Y39" s="261"/>
      <c r="Z39" s="261"/>
      <c r="AA39" s="261"/>
      <c r="AB39" s="261"/>
    </row>
    <row r="40" spans="1:28" ht="36" x14ac:dyDescent="0.35">
      <c r="B40" s="80"/>
      <c r="C40" s="203" t="s">
        <v>485</v>
      </c>
      <c r="D40" s="340">
        <v>22218.84</v>
      </c>
      <c r="E40" s="340">
        <v>3538.58</v>
      </c>
      <c r="F40" s="340">
        <v>386.81999999999971</v>
      </c>
      <c r="G40" s="340"/>
      <c r="H40" s="340">
        <v>1590.99</v>
      </c>
      <c r="I40" s="340">
        <v>1590.99</v>
      </c>
      <c r="J40" s="340">
        <v>26144.239999999998</v>
      </c>
      <c r="K40" s="340">
        <v>7233.8112000000001</v>
      </c>
      <c r="L40" s="367">
        <v>0</v>
      </c>
      <c r="M40" s="340" t="s">
        <v>387</v>
      </c>
      <c r="N40" s="203" t="s">
        <v>365</v>
      </c>
      <c r="O40" s="164">
        <v>42070</v>
      </c>
      <c r="P40" s="164"/>
      <c r="Q40" s="203">
        <v>1734</v>
      </c>
      <c r="R40" s="203">
        <v>100</v>
      </c>
      <c r="S40" s="164"/>
      <c r="T40" s="203" t="s">
        <v>487</v>
      </c>
      <c r="U40" s="203">
        <v>4</v>
      </c>
      <c r="V40" s="368"/>
      <c r="W40" s="261"/>
      <c r="X40" s="261"/>
      <c r="Y40" s="261"/>
      <c r="Z40" s="261"/>
      <c r="AA40" s="261"/>
      <c r="AB40" s="261"/>
    </row>
    <row r="41" spans="1:28" ht="36" x14ac:dyDescent="0.35">
      <c r="B41" s="80"/>
      <c r="C41" s="203" t="s">
        <v>485</v>
      </c>
      <c r="D41" s="340">
        <v>31941</v>
      </c>
      <c r="E41" s="340">
        <v>3706.0200000000004</v>
      </c>
      <c r="F41" s="340">
        <v>26089.699999999997</v>
      </c>
      <c r="G41" s="340"/>
      <c r="H41" s="340">
        <v>4121.3499999999995</v>
      </c>
      <c r="I41" s="340">
        <v>4121.3499999999995</v>
      </c>
      <c r="J41" s="340">
        <v>61736.72</v>
      </c>
      <c r="K41" s="340">
        <v>18126.72</v>
      </c>
      <c r="L41" s="367">
        <v>1900</v>
      </c>
      <c r="M41" s="340" t="s">
        <v>387</v>
      </c>
      <c r="N41" s="80" t="s">
        <v>365</v>
      </c>
      <c r="O41" s="164">
        <v>44389</v>
      </c>
      <c r="P41" s="164"/>
      <c r="Q41" s="80">
        <v>1734</v>
      </c>
      <c r="R41" s="80">
        <v>100</v>
      </c>
      <c r="S41" s="164"/>
      <c r="T41" s="258" t="s">
        <v>493</v>
      </c>
      <c r="U41" s="258">
        <v>1</v>
      </c>
      <c r="V41" s="368"/>
      <c r="W41" s="261"/>
      <c r="X41" s="261"/>
      <c r="Y41" s="261"/>
      <c r="Z41" s="261"/>
      <c r="AA41" s="261"/>
      <c r="AB41" s="261"/>
    </row>
    <row r="42" spans="1:28" ht="51.75" customHeight="1" x14ac:dyDescent="0.35">
      <c r="B42" s="80"/>
      <c r="C42" s="203" t="s">
        <v>485</v>
      </c>
      <c r="D42" s="340">
        <v>20924.82</v>
      </c>
      <c r="E42" s="340">
        <v>1044.78</v>
      </c>
      <c r="F42" s="340">
        <v>381.92000000000189</v>
      </c>
      <c r="G42" s="340"/>
      <c r="H42" s="340">
        <v>1498.2100000000003</v>
      </c>
      <c r="I42" s="340">
        <v>1498.2100000000003</v>
      </c>
      <c r="J42" s="340">
        <v>22351.52</v>
      </c>
      <c r="K42" s="340">
        <v>6818.1568000000007</v>
      </c>
      <c r="L42" s="367">
        <v>0</v>
      </c>
      <c r="M42" s="340" t="s">
        <v>390</v>
      </c>
      <c r="N42" s="80" t="s">
        <v>365</v>
      </c>
      <c r="O42" s="164">
        <v>44608</v>
      </c>
      <c r="P42" s="164"/>
      <c r="Q42" s="80">
        <v>1734</v>
      </c>
      <c r="R42" s="80">
        <v>100</v>
      </c>
      <c r="S42" s="164">
        <v>45535</v>
      </c>
      <c r="T42" s="258" t="s">
        <v>495</v>
      </c>
      <c r="U42" s="258">
        <v>4</v>
      </c>
      <c r="V42" s="368"/>
      <c r="W42" s="261" t="s">
        <v>489</v>
      </c>
      <c r="X42" s="261"/>
      <c r="Y42" s="261"/>
      <c r="Z42" s="261"/>
      <c r="AA42" s="261"/>
      <c r="AB42" s="281" t="s">
        <v>564</v>
      </c>
    </row>
    <row r="43" spans="1:28" ht="36" x14ac:dyDescent="0.35">
      <c r="B43" s="80"/>
      <c r="C43" s="203" t="s">
        <v>485</v>
      </c>
      <c r="D43" s="340">
        <v>4958.3</v>
      </c>
      <c r="E43" s="340">
        <v>1632.9599999999998</v>
      </c>
      <c r="F43" s="340">
        <v>76.4399999999996</v>
      </c>
      <c r="G43" s="340"/>
      <c r="H43" s="340">
        <v>299.65000000000003</v>
      </c>
      <c r="I43" s="340">
        <v>299.65000000000003</v>
      </c>
      <c r="J43" s="340">
        <v>6667.7</v>
      </c>
      <c r="K43" s="340">
        <v>1611.1168</v>
      </c>
      <c r="L43" s="367">
        <v>0</v>
      </c>
      <c r="M43" s="340" t="s">
        <v>391</v>
      </c>
      <c r="N43" s="80" t="s">
        <v>365</v>
      </c>
      <c r="O43" s="164">
        <v>44746</v>
      </c>
      <c r="P43" s="164"/>
      <c r="Q43" s="80">
        <v>1734</v>
      </c>
      <c r="R43" s="80">
        <v>20</v>
      </c>
      <c r="S43" s="164"/>
      <c r="T43" s="258" t="s">
        <v>495</v>
      </c>
      <c r="U43" s="258">
        <v>4</v>
      </c>
      <c r="V43" s="368"/>
      <c r="W43" s="261"/>
      <c r="X43" s="261"/>
      <c r="Y43" s="261"/>
      <c r="Z43" s="261"/>
      <c r="AA43" s="261"/>
      <c r="AB43" s="261"/>
    </row>
    <row r="44" spans="1:28" ht="45" customHeight="1" x14ac:dyDescent="0.35">
      <c r="B44" s="80"/>
      <c r="C44" s="203" t="s">
        <v>485</v>
      </c>
      <c r="D44" s="340">
        <v>20471.5</v>
      </c>
      <c r="E44" s="340">
        <v>3675.39</v>
      </c>
      <c r="F44" s="340">
        <v>381.92000000000189</v>
      </c>
      <c r="G44" s="340"/>
      <c r="H44" s="340">
        <v>1489.5300000000002</v>
      </c>
      <c r="I44" s="340">
        <v>1489.5300000000002</v>
      </c>
      <c r="J44" s="340">
        <v>24528.81</v>
      </c>
      <c r="K44" s="340">
        <v>6673.0944000000009</v>
      </c>
      <c r="L44" s="367">
        <v>0</v>
      </c>
      <c r="M44" s="340" t="s">
        <v>387</v>
      </c>
      <c r="N44" s="80" t="s">
        <v>365</v>
      </c>
      <c r="O44" s="164">
        <v>45008</v>
      </c>
      <c r="P44" s="164"/>
      <c r="Q44" s="80">
        <v>1734</v>
      </c>
      <c r="R44" s="80">
        <v>100</v>
      </c>
      <c r="S44" s="164">
        <v>45535</v>
      </c>
      <c r="T44" s="258" t="s">
        <v>495</v>
      </c>
      <c r="U44" s="258">
        <v>4</v>
      </c>
      <c r="V44" s="368"/>
      <c r="W44" s="261" t="s">
        <v>489</v>
      </c>
      <c r="X44" s="261"/>
      <c r="Y44" s="261"/>
      <c r="Z44" s="261"/>
      <c r="AA44" s="261"/>
      <c r="AB44" s="281" t="s">
        <v>577</v>
      </c>
    </row>
    <row r="45" spans="1:28" ht="36" x14ac:dyDescent="0.35">
      <c r="B45" s="80"/>
      <c r="C45" s="203" t="s">
        <v>485</v>
      </c>
      <c r="D45" s="340">
        <v>30508.1</v>
      </c>
      <c r="E45" s="340">
        <v>0</v>
      </c>
      <c r="F45" s="340">
        <v>23320.659999999996</v>
      </c>
      <c r="G45" s="340"/>
      <c r="H45" s="340">
        <v>3392.64</v>
      </c>
      <c r="I45" s="340">
        <v>3392.64</v>
      </c>
      <c r="J45" s="340">
        <v>53828.759999999995</v>
      </c>
      <c r="K45" s="340">
        <v>17225.2032</v>
      </c>
      <c r="L45" s="367">
        <v>0</v>
      </c>
      <c r="M45" s="340" t="s">
        <v>387</v>
      </c>
      <c r="N45" s="80" t="s">
        <v>365</v>
      </c>
      <c r="O45" s="164">
        <v>45474</v>
      </c>
      <c r="P45" s="164"/>
      <c r="Q45" s="80">
        <v>1734</v>
      </c>
      <c r="R45" s="80">
        <v>100</v>
      </c>
      <c r="S45" s="164"/>
      <c r="T45" s="258" t="s">
        <v>523</v>
      </c>
      <c r="U45" s="258">
        <v>1</v>
      </c>
      <c r="V45" s="368"/>
      <c r="W45" s="261"/>
      <c r="X45" s="261"/>
      <c r="Y45" s="261"/>
      <c r="Z45" s="261"/>
      <c r="AA45" s="261"/>
      <c r="AB45" s="261"/>
    </row>
    <row r="46" spans="1:28" ht="51" customHeight="1" x14ac:dyDescent="0.35">
      <c r="B46" s="80"/>
      <c r="C46" s="203" t="s">
        <v>485</v>
      </c>
      <c r="D46" s="340">
        <v>30176.3</v>
      </c>
      <c r="E46" s="340">
        <v>91.67</v>
      </c>
      <c r="F46" s="340">
        <v>17320.66</v>
      </c>
      <c r="G46" s="340"/>
      <c r="H46" s="340">
        <v>3392.64</v>
      </c>
      <c r="I46" s="340">
        <v>3392.64</v>
      </c>
      <c r="J46" s="340">
        <v>47588.63</v>
      </c>
      <c r="K46" s="340">
        <v>15199.0272</v>
      </c>
      <c r="L46" s="367">
        <v>1900</v>
      </c>
      <c r="M46" s="340" t="s">
        <v>387</v>
      </c>
      <c r="N46" s="80" t="s">
        <v>365</v>
      </c>
      <c r="O46" s="164">
        <v>45415</v>
      </c>
      <c r="P46" s="164"/>
      <c r="Q46" s="80">
        <v>1734</v>
      </c>
      <c r="R46" s="80">
        <v>100</v>
      </c>
      <c r="S46" s="164">
        <v>45504</v>
      </c>
      <c r="T46" s="258" t="s">
        <v>523</v>
      </c>
      <c r="U46" s="258">
        <v>1</v>
      </c>
      <c r="V46" s="368"/>
      <c r="W46" s="261" t="s">
        <v>489</v>
      </c>
      <c r="X46" s="261"/>
      <c r="Y46" s="261"/>
      <c r="Z46" s="261"/>
      <c r="AA46" s="261"/>
      <c r="AB46" s="281" t="s">
        <v>584</v>
      </c>
    </row>
    <row r="47" spans="1:28" ht="36" x14ac:dyDescent="0.35">
      <c r="B47" s="80"/>
      <c r="C47" s="203" t="s">
        <v>485</v>
      </c>
      <c r="D47" s="340">
        <v>27099.52</v>
      </c>
      <c r="E47" s="340">
        <v>0</v>
      </c>
      <c r="F47" s="340">
        <v>6628.4399999999987</v>
      </c>
      <c r="G47" s="340"/>
      <c r="H47" s="340">
        <v>2409.14</v>
      </c>
      <c r="I47" s="340">
        <v>2409.14</v>
      </c>
      <c r="J47" s="340">
        <v>33727.96</v>
      </c>
      <c r="K47" s="340">
        <v>10792.947200000001</v>
      </c>
      <c r="L47" s="367">
        <v>0</v>
      </c>
      <c r="M47" s="340" t="s">
        <v>387</v>
      </c>
      <c r="N47" s="80" t="s">
        <v>365</v>
      </c>
      <c r="O47" s="164">
        <v>45455</v>
      </c>
      <c r="P47" s="164"/>
      <c r="Q47" s="80">
        <v>1734</v>
      </c>
      <c r="R47" s="80">
        <v>100</v>
      </c>
      <c r="S47" s="164"/>
      <c r="T47" s="258" t="s">
        <v>496</v>
      </c>
      <c r="U47" s="258">
        <v>2</v>
      </c>
      <c r="V47" s="368"/>
      <c r="W47" s="261"/>
      <c r="X47" s="261"/>
      <c r="Y47" s="261"/>
      <c r="Z47" s="261"/>
      <c r="AA47" s="261"/>
      <c r="AB47" s="261"/>
    </row>
    <row r="48" spans="1:28" s="208" customFormat="1" ht="36" x14ac:dyDescent="0.35">
      <c r="A48" s="355"/>
      <c r="B48" s="370"/>
      <c r="C48" s="207" t="s">
        <v>485</v>
      </c>
      <c r="D48" s="250">
        <v>21014.22</v>
      </c>
      <c r="E48" s="250">
        <v>0</v>
      </c>
      <c r="F48" s="250">
        <v>0</v>
      </c>
      <c r="G48" s="250"/>
      <c r="H48" s="250">
        <v>1453.49</v>
      </c>
      <c r="I48" s="250">
        <v>1453.49</v>
      </c>
      <c r="J48" s="250">
        <v>21014.22</v>
      </c>
      <c r="K48" s="250">
        <v>6724.5504000000001</v>
      </c>
      <c r="L48" s="351">
        <v>0</v>
      </c>
      <c r="M48" s="250" t="s">
        <v>397</v>
      </c>
      <c r="N48" s="235" t="s">
        <v>374</v>
      </c>
      <c r="O48" s="211">
        <v>45579</v>
      </c>
      <c r="P48" s="251"/>
      <c r="Q48" s="207">
        <v>1734</v>
      </c>
      <c r="R48" s="235">
        <v>100</v>
      </c>
      <c r="S48" s="235"/>
      <c r="T48" s="251" t="s">
        <v>495</v>
      </c>
      <c r="U48" s="235">
        <v>4</v>
      </c>
      <c r="V48" s="353"/>
      <c r="W48" s="353"/>
      <c r="X48" s="353"/>
      <c r="Y48" s="353"/>
      <c r="Z48" s="353"/>
      <c r="AA48" s="353"/>
      <c r="AB48" s="242"/>
    </row>
    <row r="49" spans="1:29" s="208" customFormat="1" ht="36" x14ac:dyDescent="0.35">
      <c r="A49" s="355"/>
      <c r="B49" s="370"/>
      <c r="C49" s="207" t="s">
        <v>485</v>
      </c>
      <c r="D49" s="250">
        <v>34059.760000000002</v>
      </c>
      <c r="E49" s="250">
        <v>0</v>
      </c>
      <c r="F49" s="250">
        <v>0</v>
      </c>
      <c r="G49" s="250"/>
      <c r="H49" s="250">
        <v>1935.68</v>
      </c>
      <c r="I49" s="250">
        <v>1935.68</v>
      </c>
      <c r="J49" s="250">
        <v>34059.760000000002</v>
      </c>
      <c r="K49" s="250">
        <v>10899.1232</v>
      </c>
      <c r="L49" s="351">
        <v>0</v>
      </c>
      <c r="M49" s="250" t="s">
        <v>387</v>
      </c>
      <c r="N49" s="235" t="s">
        <v>365</v>
      </c>
      <c r="O49" s="211">
        <v>45530</v>
      </c>
      <c r="P49" s="251"/>
      <c r="Q49" s="207">
        <v>1734</v>
      </c>
      <c r="R49" s="235">
        <v>100</v>
      </c>
      <c r="S49" s="235"/>
      <c r="T49" s="251" t="s">
        <v>496</v>
      </c>
      <c r="U49" s="235">
        <v>2</v>
      </c>
      <c r="V49" s="353"/>
      <c r="W49" s="353"/>
      <c r="X49" s="353"/>
      <c r="Y49" s="353"/>
      <c r="Z49" s="353"/>
      <c r="AA49" s="353"/>
      <c r="AB49" s="242"/>
    </row>
    <row r="50" spans="1:29" ht="39.75" customHeight="1" x14ac:dyDescent="0.35">
      <c r="B50" s="370" t="s">
        <v>585</v>
      </c>
      <c r="C50" s="207" t="s">
        <v>485</v>
      </c>
      <c r="D50" s="250">
        <f>(1/3)*19507.6</f>
        <v>6502.5333333333328</v>
      </c>
      <c r="E50" s="250">
        <f>(1/3)*2445.54</f>
        <v>815.18</v>
      </c>
      <c r="F50" s="250">
        <f>(1/3)*5824.56</f>
        <v>1941.52</v>
      </c>
      <c r="G50" s="250"/>
      <c r="H50" s="250">
        <f>(1/3)*1785.74</f>
        <v>595.24666666666667</v>
      </c>
      <c r="I50" s="250">
        <f>(1/3)*1785.74</f>
        <v>595.24666666666667</v>
      </c>
      <c r="J50" s="250">
        <f>(1/3)*27777.7</f>
        <v>9259.2333333333336</v>
      </c>
      <c r="K50" s="250">
        <f>(1/3)*8106.2912</f>
        <v>2702.0970666666663</v>
      </c>
      <c r="L50" s="351">
        <f>(1/3)*1200</f>
        <v>400</v>
      </c>
      <c r="M50" s="250" t="s">
        <v>390</v>
      </c>
      <c r="N50" s="235" t="s">
        <v>365</v>
      </c>
      <c r="O50" s="211">
        <v>43132</v>
      </c>
      <c r="P50" s="211"/>
      <c r="Q50" s="235">
        <v>1734</v>
      </c>
      <c r="R50" s="369">
        <f>(1/3)*100</f>
        <v>33.333333333333329</v>
      </c>
      <c r="S50" s="211"/>
      <c r="T50" s="251" t="s">
        <v>573</v>
      </c>
      <c r="U50" s="251">
        <v>8</v>
      </c>
      <c r="V50" s="368"/>
      <c r="W50" s="261"/>
      <c r="X50" s="261"/>
      <c r="Y50" s="261"/>
      <c r="Z50" s="261"/>
      <c r="AA50" s="261"/>
      <c r="AB50" s="261"/>
    </row>
    <row r="51" spans="1:29" ht="129" customHeight="1" x14ac:dyDescent="0.35">
      <c r="B51" s="370" t="s">
        <v>586</v>
      </c>
      <c r="C51" s="207" t="s">
        <v>485</v>
      </c>
      <c r="D51" s="250">
        <v>2406.194</v>
      </c>
      <c r="E51" s="250">
        <v>170.423</v>
      </c>
      <c r="F51" s="250">
        <v>408.92600000000022</v>
      </c>
      <c r="G51" s="250"/>
      <c r="H51" s="250">
        <v>201.07999999999998</v>
      </c>
      <c r="I51" s="250">
        <v>201.07999999999998</v>
      </c>
      <c r="J51" s="250">
        <v>2985.5430000000001</v>
      </c>
      <c r="K51" s="250">
        <v>900.83839999999998</v>
      </c>
      <c r="L51" s="351">
        <v>0</v>
      </c>
      <c r="M51" s="250" t="s">
        <v>390</v>
      </c>
      <c r="N51" s="235" t="s">
        <v>365</v>
      </c>
      <c r="O51" s="211">
        <v>39167</v>
      </c>
      <c r="P51" s="211"/>
      <c r="Q51" s="235">
        <v>1734</v>
      </c>
      <c r="R51" s="369">
        <v>10</v>
      </c>
      <c r="S51" s="211"/>
      <c r="T51" s="251" t="s">
        <v>508</v>
      </c>
      <c r="U51" s="251">
        <v>8</v>
      </c>
      <c r="V51" s="368"/>
      <c r="W51" s="261"/>
      <c r="X51" s="261"/>
      <c r="Y51" s="261"/>
      <c r="Z51" s="261"/>
      <c r="AA51" s="261"/>
      <c r="AB51" s="261"/>
    </row>
    <row r="52" spans="1:29" ht="129" customHeight="1" x14ac:dyDescent="0.35">
      <c r="B52" s="370" t="s">
        <v>586</v>
      </c>
      <c r="C52" s="207" t="s">
        <v>485</v>
      </c>
      <c r="D52" s="250">
        <v>2387.252</v>
      </c>
      <c r="E52" s="250">
        <v>143.655</v>
      </c>
      <c r="F52" s="250">
        <v>482.39799999999997</v>
      </c>
      <c r="G52" s="250"/>
      <c r="H52" s="250">
        <v>201.10499999999999</v>
      </c>
      <c r="I52" s="250">
        <v>201.10499999999999</v>
      </c>
      <c r="J52" s="250">
        <v>3013.3049999999998</v>
      </c>
      <c r="K52" s="250">
        <v>918.28800000000012</v>
      </c>
      <c r="L52" s="351">
        <v>0</v>
      </c>
      <c r="M52" s="250" t="s">
        <v>387</v>
      </c>
      <c r="N52" s="235" t="s">
        <v>365</v>
      </c>
      <c r="O52" s="211">
        <v>38845</v>
      </c>
      <c r="P52" s="211"/>
      <c r="Q52" s="235">
        <v>1734</v>
      </c>
      <c r="R52" s="369">
        <v>10</v>
      </c>
      <c r="S52" s="211"/>
      <c r="T52" s="251" t="s">
        <v>509</v>
      </c>
      <c r="U52" s="251">
        <v>8</v>
      </c>
      <c r="V52" s="368"/>
      <c r="W52" s="261"/>
      <c r="X52" s="261"/>
      <c r="Y52" s="261"/>
      <c r="Z52" s="261"/>
      <c r="AA52" s="261"/>
      <c r="AB52" s="261"/>
    </row>
    <row r="53" spans="1:29" ht="129" customHeight="1" x14ac:dyDescent="0.35">
      <c r="B53" s="370" t="s">
        <v>586</v>
      </c>
      <c r="C53" s="207" t="s">
        <v>485</v>
      </c>
      <c r="D53" s="250">
        <v>3242.0080000000003</v>
      </c>
      <c r="E53" s="250">
        <v>1515.021</v>
      </c>
      <c r="F53" s="250">
        <v>5267.9680000000008</v>
      </c>
      <c r="G53" s="250"/>
      <c r="H53" s="250">
        <v>557.42200000000003</v>
      </c>
      <c r="I53" s="250">
        <v>557.42200000000003</v>
      </c>
      <c r="J53" s="250">
        <v>10024.996999999999</v>
      </c>
      <c r="K53" s="250">
        <v>1812.672</v>
      </c>
      <c r="L53" s="351">
        <v>1250</v>
      </c>
      <c r="M53" s="250" t="s">
        <v>387</v>
      </c>
      <c r="N53" s="235" t="s">
        <v>365</v>
      </c>
      <c r="O53" s="211">
        <v>33273</v>
      </c>
      <c r="P53" s="211"/>
      <c r="Q53" s="235">
        <v>1734</v>
      </c>
      <c r="R53" s="369">
        <v>10</v>
      </c>
      <c r="S53" s="211"/>
      <c r="T53" s="251" t="s">
        <v>510</v>
      </c>
      <c r="U53" s="251">
        <v>6</v>
      </c>
      <c r="V53" s="368"/>
      <c r="W53" s="261"/>
      <c r="X53" s="261"/>
      <c r="Y53" s="261"/>
      <c r="Z53" s="261"/>
      <c r="AA53" s="261"/>
      <c r="AB53" s="261"/>
    </row>
    <row r="54" spans="1:29" ht="129" customHeight="1" x14ac:dyDescent="0.35">
      <c r="B54" s="370" t="s">
        <v>586</v>
      </c>
      <c r="C54" s="207" t="s">
        <v>485</v>
      </c>
      <c r="D54" s="250">
        <v>3097.57</v>
      </c>
      <c r="E54" s="250">
        <v>565.12999999999988</v>
      </c>
      <c r="F54" s="250">
        <v>3069.3339999999994</v>
      </c>
      <c r="G54" s="250"/>
      <c r="H54" s="250">
        <v>366.48399999999998</v>
      </c>
      <c r="I54" s="250">
        <v>366.48399999999998</v>
      </c>
      <c r="J54" s="250">
        <v>6732.0339999999997</v>
      </c>
      <c r="K54" s="250">
        <v>1812.672</v>
      </c>
      <c r="L54" s="351">
        <v>432</v>
      </c>
      <c r="M54" s="250" t="s">
        <v>387</v>
      </c>
      <c r="N54" s="235" t="s">
        <v>365</v>
      </c>
      <c r="O54" s="211">
        <v>31845</v>
      </c>
      <c r="P54" s="211"/>
      <c r="Q54" s="235">
        <v>1734</v>
      </c>
      <c r="R54" s="369">
        <v>10</v>
      </c>
      <c r="S54" s="211"/>
      <c r="T54" s="251" t="s">
        <v>511</v>
      </c>
      <c r="U54" s="251">
        <v>2</v>
      </c>
      <c r="V54" s="368"/>
      <c r="W54" s="261"/>
      <c r="X54" s="261"/>
      <c r="Y54" s="261"/>
      <c r="Z54" s="261"/>
      <c r="AA54" s="261"/>
      <c r="AB54" s="261"/>
    </row>
    <row r="55" spans="1:29" ht="129" customHeight="1" x14ac:dyDescent="0.35">
      <c r="B55" s="370" t="s">
        <v>586</v>
      </c>
      <c r="C55" s="207" t="s">
        <v>485</v>
      </c>
      <c r="D55" s="250">
        <v>1713.2079999999999</v>
      </c>
      <c r="E55" s="250">
        <v>37.150999999999996</v>
      </c>
      <c r="F55" s="250">
        <v>4162.7039999999997</v>
      </c>
      <c r="G55" s="250"/>
      <c r="H55" s="250">
        <v>417.33800000000002</v>
      </c>
      <c r="I55" s="250">
        <v>417.33800000000002</v>
      </c>
      <c r="J55" s="250">
        <v>5913.0630000000001</v>
      </c>
      <c r="K55" s="250">
        <v>1812.672</v>
      </c>
      <c r="L55" s="351">
        <v>0</v>
      </c>
      <c r="M55" s="250" t="s">
        <v>391</v>
      </c>
      <c r="N55" s="235" t="s">
        <v>365</v>
      </c>
      <c r="O55" s="211">
        <v>35977</v>
      </c>
      <c r="P55" s="211"/>
      <c r="Q55" s="235">
        <v>1734</v>
      </c>
      <c r="R55" s="369">
        <v>5</v>
      </c>
      <c r="S55" s="211"/>
      <c r="T55" s="251" t="s">
        <v>512</v>
      </c>
      <c r="U55" s="251">
        <v>1</v>
      </c>
      <c r="V55" s="368"/>
      <c r="W55" s="261"/>
      <c r="X55" s="261"/>
      <c r="Y55" s="261"/>
      <c r="Z55" s="261"/>
      <c r="AA55" s="261"/>
      <c r="AB55" s="261"/>
    </row>
    <row r="56" spans="1:29" ht="129" customHeight="1" x14ac:dyDescent="0.35">
      <c r="B56" s="370" t="s">
        <v>586</v>
      </c>
      <c r="C56" s="207" t="s">
        <v>485</v>
      </c>
      <c r="D56" s="250">
        <v>2606.982</v>
      </c>
      <c r="E56" s="250">
        <v>473.12299999999993</v>
      </c>
      <c r="F56" s="250">
        <v>2571.4499999999998</v>
      </c>
      <c r="G56" s="250"/>
      <c r="H56" s="250">
        <v>368.38800000000003</v>
      </c>
      <c r="I56" s="250">
        <v>368.38800000000003</v>
      </c>
      <c r="J56" s="250">
        <v>5651.5550000000003</v>
      </c>
      <c r="K56" s="250">
        <v>1657.09824</v>
      </c>
      <c r="L56" s="351">
        <v>240</v>
      </c>
      <c r="M56" s="250" t="s">
        <v>387</v>
      </c>
      <c r="N56" s="235" t="s">
        <v>365</v>
      </c>
      <c r="O56" s="211">
        <v>33493</v>
      </c>
      <c r="P56" s="211"/>
      <c r="Q56" s="235">
        <v>1734</v>
      </c>
      <c r="R56" s="369">
        <v>10</v>
      </c>
      <c r="S56" s="211"/>
      <c r="T56" s="251" t="s">
        <v>513</v>
      </c>
      <c r="U56" s="251">
        <v>8</v>
      </c>
      <c r="V56" s="368"/>
      <c r="W56" s="261"/>
      <c r="X56" s="261"/>
      <c r="Y56" s="261"/>
      <c r="Z56" s="261"/>
      <c r="AA56" s="261"/>
      <c r="AB56" s="261"/>
    </row>
    <row r="57" spans="1:29" ht="129" customHeight="1" x14ac:dyDescent="0.35">
      <c r="B57" s="370" t="s">
        <v>586</v>
      </c>
      <c r="C57" s="207" t="s">
        <v>485</v>
      </c>
      <c r="D57" s="250">
        <v>2118.288</v>
      </c>
      <c r="E57" s="250">
        <v>215.75200000000001</v>
      </c>
      <c r="F57" s="250">
        <v>0</v>
      </c>
      <c r="G57" s="250"/>
      <c r="H57" s="250">
        <v>150.29400000000001</v>
      </c>
      <c r="I57" s="250">
        <v>150.29400000000001</v>
      </c>
      <c r="J57" s="250">
        <v>2334.04</v>
      </c>
      <c r="K57" s="250">
        <v>677.85216000000003</v>
      </c>
      <c r="L57" s="351">
        <v>0</v>
      </c>
      <c r="M57" s="250" t="s">
        <v>390</v>
      </c>
      <c r="N57" s="235" t="s">
        <v>365</v>
      </c>
      <c r="O57" s="211">
        <v>42401</v>
      </c>
      <c r="P57" s="211"/>
      <c r="Q57" s="235">
        <v>1734</v>
      </c>
      <c r="R57" s="369">
        <v>10</v>
      </c>
      <c r="S57" s="211"/>
      <c r="T57" s="251" t="s">
        <v>514</v>
      </c>
      <c r="U57" s="251">
        <v>4</v>
      </c>
      <c r="V57" s="368"/>
      <c r="W57" s="261"/>
      <c r="X57" s="261"/>
      <c r="Y57" s="261"/>
      <c r="Z57" s="261"/>
      <c r="AA57" s="261"/>
      <c r="AB57" s="261"/>
    </row>
    <row r="58" spans="1:29" ht="129" customHeight="1" x14ac:dyDescent="0.35">
      <c r="B58" s="370" t="s">
        <v>586</v>
      </c>
      <c r="C58" s="207" t="s">
        <v>485</v>
      </c>
      <c r="D58" s="250">
        <v>3013.0940000000001</v>
      </c>
      <c r="E58" s="250">
        <v>117.37100000000001</v>
      </c>
      <c r="F58" s="250">
        <v>1091.7759999999994</v>
      </c>
      <c r="G58" s="250"/>
      <c r="H58" s="250">
        <v>289.33499999999998</v>
      </c>
      <c r="I58" s="250">
        <v>289.33499999999998</v>
      </c>
      <c r="J58" s="250">
        <v>4222.241</v>
      </c>
      <c r="K58" s="250">
        <v>1313.5583999999999</v>
      </c>
      <c r="L58" s="351">
        <v>0</v>
      </c>
      <c r="M58" s="250" t="s">
        <v>387</v>
      </c>
      <c r="N58" s="235" t="s">
        <v>365</v>
      </c>
      <c r="O58" s="211">
        <v>42509</v>
      </c>
      <c r="P58" s="211"/>
      <c r="Q58" s="235">
        <v>1734</v>
      </c>
      <c r="R58" s="369">
        <v>10</v>
      </c>
      <c r="S58" s="211"/>
      <c r="T58" s="251" t="s">
        <v>515</v>
      </c>
      <c r="U58" s="251">
        <v>7</v>
      </c>
      <c r="V58" s="368"/>
      <c r="W58" s="261"/>
      <c r="X58" s="261"/>
      <c r="Y58" s="261"/>
      <c r="Z58" s="261"/>
      <c r="AA58" s="261"/>
      <c r="AB58" s="261"/>
    </row>
    <row r="59" spans="1:29" ht="129" customHeight="1" x14ac:dyDescent="0.35">
      <c r="B59" s="370" t="s">
        <v>586</v>
      </c>
      <c r="C59" s="207" t="s">
        <v>485</v>
      </c>
      <c r="D59" s="250">
        <v>3247</v>
      </c>
      <c r="E59" s="250">
        <v>204.42800000000003</v>
      </c>
      <c r="F59" s="250">
        <v>993.11800000000005</v>
      </c>
      <c r="G59" s="250"/>
      <c r="H59" s="250">
        <v>300.84100000000001</v>
      </c>
      <c r="I59" s="250">
        <v>300.84100000000001</v>
      </c>
      <c r="J59" s="250">
        <v>4444.5460000000003</v>
      </c>
      <c r="K59" s="250">
        <v>1356.8377599999999</v>
      </c>
      <c r="L59" s="351">
        <v>0</v>
      </c>
      <c r="M59" s="250" t="s">
        <v>387</v>
      </c>
      <c r="N59" s="235" t="s">
        <v>365</v>
      </c>
      <c r="O59" s="211">
        <v>42522</v>
      </c>
      <c r="P59" s="211"/>
      <c r="Q59" s="235">
        <v>1734</v>
      </c>
      <c r="R59" s="369">
        <v>10</v>
      </c>
      <c r="S59" s="211"/>
      <c r="T59" s="251" t="s">
        <v>516</v>
      </c>
      <c r="U59" s="251">
        <v>1</v>
      </c>
      <c r="V59" s="368"/>
      <c r="W59" s="261"/>
      <c r="X59" s="261"/>
      <c r="Y59" s="261"/>
      <c r="Z59" s="261"/>
      <c r="AA59" s="261"/>
      <c r="AB59" s="261"/>
    </row>
    <row r="60" spans="1:29" ht="129" customHeight="1" x14ac:dyDescent="0.35">
      <c r="B60" s="370" t="s">
        <v>586</v>
      </c>
      <c r="C60" s="207" t="s">
        <v>485</v>
      </c>
      <c r="D60" s="250">
        <v>2230.2219999999998</v>
      </c>
      <c r="E60" s="250">
        <v>225.20100000000002</v>
      </c>
      <c r="F60" s="250">
        <v>429.92600000000022</v>
      </c>
      <c r="G60" s="250"/>
      <c r="H60" s="250">
        <v>186.48600000000002</v>
      </c>
      <c r="I60" s="250">
        <v>186.48600000000002</v>
      </c>
      <c r="J60" s="250">
        <v>2885.3489999999997</v>
      </c>
      <c r="K60" s="250">
        <v>851.24735999999996</v>
      </c>
      <c r="L60" s="351">
        <v>0</v>
      </c>
      <c r="M60" s="250" t="s">
        <v>387</v>
      </c>
      <c r="N60" s="235" t="s">
        <v>365</v>
      </c>
      <c r="O60" s="211">
        <v>44503</v>
      </c>
      <c r="P60" s="211"/>
      <c r="Q60" s="235">
        <v>1734</v>
      </c>
      <c r="R60" s="369">
        <v>10</v>
      </c>
      <c r="S60" s="211"/>
      <c r="T60" s="251" t="s">
        <v>509</v>
      </c>
      <c r="U60" s="251">
        <v>8</v>
      </c>
      <c r="V60" s="368"/>
      <c r="W60" s="261"/>
      <c r="X60" s="261"/>
      <c r="Y60" s="261"/>
      <c r="Z60" s="261"/>
      <c r="AA60" s="261"/>
      <c r="AB60" s="261"/>
    </row>
    <row r="61" spans="1:29" x14ac:dyDescent="0.35">
      <c r="B61" s="135"/>
      <c r="Y61" s="126"/>
      <c r="Z61" s="126"/>
      <c r="AA61" s="126"/>
      <c r="AB61" s="126"/>
      <c r="AC61" s="126"/>
    </row>
    <row r="62" spans="1:29" x14ac:dyDescent="0.35">
      <c r="B62" s="135"/>
      <c r="Y62" s="126"/>
      <c r="Z62" s="126"/>
      <c r="AA62" s="126"/>
      <c r="AB62" s="126"/>
      <c r="AC62" s="126"/>
    </row>
    <row r="63" spans="1:29" ht="19" thickBot="1" x14ac:dyDescent="0.5">
      <c r="B63" s="18" t="s">
        <v>17</v>
      </c>
      <c r="C63" s="1"/>
    </row>
    <row r="64" spans="1:29" ht="33.75" customHeight="1" x14ac:dyDescent="0.35">
      <c r="B64" s="19" t="s">
        <v>344</v>
      </c>
      <c r="C64" s="19" t="s">
        <v>2</v>
      </c>
      <c r="D64" s="19" t="s">
        <v>21</v>
      </c>
      <c r="E64" s="19" t="s">
        <v>1</v>
      </c>
      <c r="F64" s="19" t="s">
        <v>22</v>
      </c>
      <c r="G64" s="19" t="s">
        <v>14</v>
      </c>
      <c r="H64" s="19" t="s">
        <v>18</v>
      </c>
      <c r="I64" s="19" t="s">
        <v>15</v>
      </c>
      <c r="J64" s="19" t="s">
        <v>10</v>
      </c>
      <c r="K64" s="19" t="s">
        <v>23</v>
      </c>
      <c r="L64" s="19" t="s">
        <v>16</v>
      </c>
      <c r="M64" s="19" t="s">
        <v>3</v>
      </c>
      <c r="N64" s="19" t="s">
        <v>11</v>
      </c>
      <c r="O64" s="19" t="s">
        <v>4</v>
      </c>
      <c r="P64" s="19" t="s">
        <v>5</v>
      </c>
      <c r="Q64" s="19" t="s">
        <v>24</v>
      </c>
      <c r="R64" s="19" t="s">
        <v>25</v>
      </c>
      <c r="S64" s="19" t="s">
        <v>26</v>
      </c>
      <c r="T64" s="19" t="s">
        <v>27</v>
      </c>
      <c r="U64" s="19" t="s">
        <v>6</v>
      </c>
      <c r="V64" s="19" t="s">
        <v>7</v>
      </c>
      <c r="W64" s="19" t="s">
        <v>28</v>
      </c>
      <c r="X64" s="19" t="s">
        <v>29</v>
      </c>
      <c r="Y64" s="19" t="s">
        <v>30</v>
      </c>
      <c r="Z64" s="19" t="s">
        <v>31</v>
      </c>
      <c r="AA64" s="57" t="s">
        <v>8</v>
      </c>
      <c r="AB64" s="57" t="s">
        <v>9</v>
      </c>
    </row>
    <row r="65" spans="2:29" x14ac:dyDescent="0.35">
      <c r="B65" s="4"/>
      <c r="C65" s="35"/>
      <c r="D65" s="5"/>
      <c r="E65" s="5"/>
      <c r="F65" s="5"/>
      <c r="G65" s="5"/>
      <c r="H65" s="5"/>
      <c r="I65" s="5"/>
      <c r="J65" s="5"/>
      <c r="K65" s="5"/>
      <c r="L65" s="4"/>
      <c r="M65" s="4"/>
      <c r="N65" s="4"/>
      <c r="O65" s="6"/>
      <c r="P65" s="7"/>
      <c r="Q65" s="8"/>
      <c r="R65" s="8"/>
      <c r="S65" s="8"/>
      <c r="T65" s="9"/>
      <c r="U65" s="9"/>
      <c r="V65" s="10"/>
      <c r="W65" s="36"/>
      <c r="X65" s="36" t="s">
        <v>0</v>
      </c>
      <c r="Y65" s="36"/>
      <c r="Z65" s="36"/>
      <c r="AA65" s="36"/>
      <c r="AB65" s="36"/>
    </row>
    <row r="66" spans="2:29" x14ac:dyDescent="0.35">
      <c r="B66" s="4"/>
      <c r="C66" s="31"/>
      <c r="D66" s="5"/>
      <c r="E66" s="5"/>
      <c r="F66" s="5"/>
      <c r="G66" s="5"/>
      <c r="H66" s="5"/>
      <c r="I66" s="5"/>
      <c r="J66" s="5"/>
      <c r="K66" s="5"/>
      <c r="L66" s="4"/>
      <c r="M66" s="4"/>
      <c r="N66" s="4"/>
      <c r="O66" s="6"/>
      <c r="P66" s="7"/>
      <c r="Q66" s="8"/>
      <c r="R66" s="8"/>
      <c r="S66" s="8"/>
      <c r="T66" s="9"/>
      <c r="U66" s="9"/>
      <c r="V66" s="10"/>
      <c r="W66" s="36"/>
      <c r="X66" s="36"/>
      <c r="Y66" s="36"/>
      <c r="Z66" s="36"/>
      <c r="AA66" s="36"/>
      <c r="AB66" s="36"/>
    </row>
    <row r="67" spans="2:29" x14ac:dyDescent="0.35">
      <c r="B67" s="4"/>
      <c r="C67" s="31"/>
      <c r="D67" s="5"/>
      <c r="E67" s="5"/>
      <c r="F67" s="5"/>
      <c r="G67" s="5"/>
      <c r="H67" s="5"/>
      <c r="I67" s="5"/>
      <c r="J67" s="5"/>
      <c r="K67" s="5"/>
      <c r="L67" s="4"/>
      <c r="M67" s="4"/>
      <c r="N67" s="4"/>
      <c r="O67" s="6"/>
      <c r="P67" s="7"/>
      <c r="Q67" s="8"/>
      <c r="R67" s="8"/>
      <c r="S67" s="8"/>
      <c r="T67" s="9"/>
      <c r="U67" s="9"/>
      <c r="V67" s="10"/>
      <c r="W67" s="36"/>
      <c r="X67" s="36"/>
      <c r="Y67" s="36"/>
      <c r="Z67" s="36"/>
      <c r="AA67" s="36"/>
      <c r="AB67" s="36"/>
    </row>
    <row r="68" spans="2:29" x14ac:dyDescent="0.35">
      <c r="B68" s="11"/>
      <c r="C68" s="31"/>
      <c r="D68" s="12"/>
      <c r="E68" s="12"/>
      <c r="F68" s="12"/>
      <c r="G68" s="12"/>
      <c r="H68" s="12"/>
      <c r="I68" s="12"/>
      <c r="J68" s="12"/>
      <c r="K68" s="12"/>
      <c r="L68" s="11"/>
      <c r="M68" s="11"/>
      <c r="N68" s="11"/>
      <c r="O68" s="37"/>
      <c r="P68" s="13"/>
      <c r="Q68" s="14"/>
      <c r="R68" s="14"/>
      <c r="S68" s="14"/>
      <c r="T68" s="38"/>
      <c r="U68" s="38"/>
      <c r="V68" s="15"/>
      <c r="W68" s="39"/>
      <c r="X68" s="39"/>
      <c r="Y68" s="39"/>
      <c r="Z68" s="39"/>
      <c r="AA68" s="39"/>
      <c r="AB68" s="39"/>
    </row>
    <row r="69" spans="2:29" x14ac:dyDescent="0.35">
      <c r="B69" s="11"/>
      <c r="C69" s="31"/>
      <c r="D69" s="12"/>
      <c r="E69" s="12"/>
      <c r="F69" s="12"/>
      <c r="G69" s="12"/>
      <c r="H69" s="12"/>
      <c r="I69" s="12"/>
      <c r="J69" s="12"/>
      <c r="K69" s="12"/>
      <c r="L69" s="11"/>
      <c r="M69" s="11"/>
      <c r="N69" s="11"/>
      <c r="O69" s="37"/>
      <c r="P69" s="13"/>
      <c r="Q69" s="14"/>
      <c r="R69" s="14"/>
      <c r="S69" s="14"/>
      <c r="T69" s="38"/>
      <c r="U69" s="38"/>
      <c r="V69" s="16"/>
      <c r="W69" s="39"/>
      <c r="X69" s="39"/>
      <c r="Y69" s="39"/>
      <c r="Z69" s="39"/>
      <c r="AA69" s="39"/>
      <c r="AB69" s="39"/>
    </row>
    <row r="70" spans="2:29" x14ac:dyDescent="0.35">
      <c r="B70" s="11"/>
      <c r="C70" s="31"/>
      <c r="D70" s="12"/>
      <c r="E70" s="12"/>
      <c r="F70" s="12"/>
      <c r="G70" s="12"/>
      <c r="H70" s="12"/>
      <c r="I70" s="12"/>
      <c r="J70" s="12"/>
      <c r="K70" s="12"/>
      <c r="L70" s="11"/>
      <c r="M70" s="11"/>
      <c r="N70" s="11"/>
      <c r="O70" s="37"/>
      <c r="P70" s="13"/>
      <c r="Q70" s="14"/>
      <c r="R70" s="14"/>
      <c r="S70" s="14"/>
      <c r="T70" s="38"/>
      <c r="U70" s="38"/>
      <c r="V70" s="16"/>
      <c r="W70" s="39"/>
      <c r="X70" s="39"/>
      <c r="Y70" s="39"/>
      <c r="Z70" s="39"/>
      <c r="AA70" s="39"/>
      <c r="AB70" s="39"/>
    </row>
    <row r="71" spans="2:29" x14ac:dyDescent="0.35">
      <c r="B71" s="127"/>
      <c r="C71" s="127"/>
      <c r="D71" s="128"/>
      <c r="E71" s="129"/>
      <c r="F71" s="129"/>
      <c r="G71" s="129"/>
      <c r="H71" s="129"/>
      <c r="I71" s="129"/>
      <c r="J71" s="129"/>
      <c r="K71" s="129"/>
      <c r="L71" s="129"/>
      <c r="M71" s="127"/>
      <c r="N71" s="127"/>
      <c r="O71" s="127"/>
      <c r="P71" s="130"/>
      <c r="Q71" s="131"/>
      <c r="R71" s="132"/>
      <c r="S71" s="132"/>
      <c r="T71" s="132"/>
      <c r="U71" s="133"/>
      <c r="V71" s="133"/>
      <c r="W71" s="134"/>
      <c r="X71" s="126"/>
      <c r="Y71" s="126"/>
      <c r="Z71" s="126"/>
      <c r="AA71" s="126"/>
      <c r="AB71" s="126"/>
      <c r="AC71" s="126"/>
    </row>
    <row r="72" spans="2:29" x14ac:dyDescent="0.35">
      <c r="B72" s="127"/>
      <c r="C72" s="127"/>
      <c r="D72" s="128"/>
      <c r="E72" s="129"/>
      <c r="F72" s="129"/>
      <c r="G72" s="129"/>
      <c r="H72" s="129"/>
      <c r="I72" s="129"/>
      <c r="J72" s="129"/>
      <c r="K72" s="129"/>
      <c r="L72" s="129"/>
      <c r="M72" s="127"/>
      <c r="N72" s="127"/>
      <c r="O72" s="127"/>
      <c r="P72" s="130"/>
      <c r="Q72" s="131"/>
      <c r="R72" s="132"/>
      <c r="S72" s="132"/>
      <c r="T72" s="132"/>
      <c r="U72" s="133"/>
      <c r="V72" s="133"/>
      <c r="W72" s="134"/>
      <c r="X72" s="126"/>
      <c r="Y72" s="126"/>
      <c r="Z72" s="126"/>
      <c r="AA72" s="126"/>
      <c r="AB72" s="126"/>
      <c r="AC72" s="126"/>
    </row>
    <row r="73" spans="2:29" x14ac:dyDescent="0.35">
      <c r="B73" s="135"/>
      <c r="C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D52"/>
  <sheetViews>
    <sheetView zoomScaleNormal="100" workbookViewId="0">
      <selection activeCell="B2" sqref="B2:AB41"/>
    </sheetView>
  </sheetViews>
  <sheetFormatPr defaultColWidth="11.453125" defaultRowHeight="14.5" x14ac:dyDescent="0.35"/>
  <cols>
    <col min="1" max="1" width="5.54296875" style="59" customWidth="1"/>
    <col min="2" max="2" width="25" style="59" customWidth="1"/>
    <col min="3" max="3" width="32.7265625" style="59" customWidth="1"/>
    <col min="4" max="4" width="12.453125" style="59" bestFit="1" customWidth="1"/>
    <col min="5" max="5" width="18.1796875" style="59" customWidth="1"/>
    <col min="6" max="6" width="19.453125" style="59" customWidth="1"/>
    <col min="7" max="7" width="18.81640625" style="59" customWidth="1"/>
    <col min="8" max="8" width="13.54296875" style="59" customWidth="1"/>
    <col min="9" max="9" width="15.1796875" style="59" customWidth="1"/>
    <col min="10" max="10" width="15.26953125" style="59" customWidth="1"/>
    <col min="11" max="11" width="15.54296875" style="59" customWidth="1"/>
    <col min="12" max="12" width="17.1796875" style="60" customWidth="1"/>
    <col min="13" max="13" width="12.1796875" style="59" customWidth="1"/>
    <col min="14" max="14" width="18.453125" style="59" customWidth="1"/>
    <col min="15" max="15" width="13.54296875" style="59" bestFit="1" customWidth="1"/>
    <col min="16" max="16" width="13.453125" style="59" bestFit="1" customWidth="1"/>
    <col min="17" max="17" width="19.26953125" style="59" customWidth="1"/>
    <col min="18" max="18" width="19.453125" style="59" customWidth="1"/>
    <col min="19" max="19" width="20.26953125" style="59" bestFit="1" customWidth="1"/>
    <col min="20" max="20" width="21.26953125" style="59" customWidth="1"/>
    <col min="21" max="21" width="12.1796875" style="59" customWidth="1"/>
    <col min="22" max="22" width="14.54296875" style="59" customWidth="1"/>
    <col min="23" max="23" width="13.81640625" style="60" customWidth="1"/>
    <col min="24" max="24" width="17.1796875" style="59" customWidth="1"/>
    <col min="25" max="25" width="16.54296875" style="59" customWidth="1"/>
    <col min="26" max="26" width="22.1796875" style="59" customWidth="1"/>
    <col min="27" max="27" width="20.26953125" style="59" customWidth="1"/>
    <col min="28" max="28" width="21.7265625" style="59" customWidth="1"/>
    <col min="29" max="29" width="25.54296875" style="59" customWidth="1"/>
    <col min="30" max="30" width="27.81640625" style="59" customWidth="1"/>
    <col min="31" max="16384" width="11.453125" style="59"/>
  </cols>
  <sheetData>
    <row r="2" spans="2:28" ht="18.5" x14ac:dyDescent="0.45">
      <c r="B2" s="18" t="s">
        <v>13</v>
      </c>
      <c r="C2" s="1"/>
    </row>
    <row r="3" spans="2:28" x14ac:dyDescent="0.35">
      <c r="B3" s="61"/>
      <c r="C3" s="61"/>
      <c r="F3" s="61"/>
      <c r="Q3" s="61"/>
      <c r="R3" s="61"/>
      <c r="S3" s="61"/>
    </row>
    <row r="4" spans="2:28" ht="15.5" x14ac:dyDescent="0.35">
      <c r="B4" s="62" t="s">
        <v>12</v>
      </c>
      <c r="C4" s="425" t="s">
        <v>359</v>
      </c>
      <c r="D4" s="426"/>
      <c r="E4" s="427"/>
      <c r="Q4" s="61"/>
      <c r="R4" s="61"/>
      <c r="S4" s="61"/>
    </row>
    <row r="5" spans="2:28" ht="15.5" x14ac:dyDescent="0.35">
      <c r="B5" s="62" t="s">
        <v>20</v>
      </c>
      <c r="C5" s="425" t="s">
        <v>360</v>
      </c>
      <c r="D5" s="426"/>
      <c r="E5" s="63"/>
      <c r="Q5" s="61"/>
      <c r="R5" s="61"/>
      <c r="S5" s="61"/>
    </row>
    <row r="6" spans="2:28" ht="15.5" x14ac:dyDescent="0.35">
      <c r="B6" s="64" t="s">
        <v>19</v>
      </c>
      <c r="C6" s="65" t="s">
        <v>361</v>
      </c>
      <c r="D6" s="66"/>
      <c r="E6" s="63"/>
      <c r="Q6" s="61"/>
      <c r="R6" s="61"/>
      <c r="S6" s="61"/>
    </row>
    <row r="7" spans="2:28" ht="15.5" x14ac:dyDescent="0.35">
      <c r="B7" s="62" t="s">
        <v>32</v>
      </c>
      <c r="C7" s="67">
        <v>45629</v>
      </c>
      <c r="D7" s="68"/>
      <c r="E7" s="69"/>
    </row>
    <row r="8" spans="2:28" ht="16" thickBot="1" x14ac:dyDescent="0.4">
      <c r="B8" s="70"/>
      <c r="C8" s="71"/>
      <c r="D8" s="71"/>
    </row>
    <row r="9" spans="2:28" ht="32" thickBot="1" x14ac:dyDescent="0.4">
      <c r="B9" s="2" t="s">
        <v>344</v>
      </c>
      <c r="C9" s="2" t="s">
        <v>2</v>
      </c>
      <c r="D9" s="2" t="s">
        <v>21</v>
      </c>
      <c r="E9" s="2" t="s">
        <v>1</v>
      </c>
      <c r="F9" s="2" t="s">
        <v>22</v>
      </c>
      <c r="G9" s="2" t="s">
        <v>14</v>
      </c>
      <c r="H9" s="2" t="s">
        <v>18</v>
      </c>
      <c r="I9" s="2" t="s">
        <v>15</v>
      </c>
      <c r="J9" s="2" t="s">
        <v>10</v>
      </c>
      <c r="K9" s="2" t="s">
        <v>23</v>
      </c>
      <c r="L9" s="2" t="s">
        <v>16</v>
      </c>
      <c r="M9" s="2" t="s">
        <v>3</v>
      </c>
      <c r="N9" s="2" t="s">
        <v>11</v>
      </c>
      <c r="O9" s="2" t="s">
        <v>4</v>
      </c>
      <c r="P9" s="2" t="s">
        <v>5</v>
      </c>
      <c r="Q9" s="2" t="s">
        <v>24</v>
      </c>
      <c r="R9" s="2" t="s">
        <v>25</v>
      </c>
      <c r="S9" s="2" t="s">
        <v>26</v>
      </c>
      <c r="T9" s="2" t="s">
        <v>27</v>
      </c>
      <c r="U9" s="2" t="s">
        <v>6</v>
      </c>
      <c r="V9" s="2" t="s">
        <v>7</v>
      </c>
      <c r="W9" s="2" t="s">
        <v>587</v>
      </c>
      <c r="X9" s="2" t="s">
        <v>29</v>
      </c>
      <c r="Y9" s="2" t="s">
        <v>30</v>
      </c>
      <c r="Z9" s="2" t="s">
        <v>31</v>
      </c>
      <c r="AA9" s="3" t="s">
        <v>8</v>
      </c>
      <c r="AB9" s="3" t="s">
        <v>9</v>
      </c>
    </row>
    <row r="10" spans="2:28" ht="36" x14ac:dyDescent="0.35">
      <c r="B10" s="72" t="s">
        <v>362</v>
      </c>
      <c r="C10" s="73" t="s">
        <v>363</v>
      </c>
      <c r="D10" s="304">
        <v>20996.92</v>
      </c>
      <c r="E10" s="305"/>
      <c r="F10" s="306">
        <f>J10-D10</f>
        <v>1589.510000000002</v>
      </c>
      <c r="G10" s="307"/>
      <c r="H10" s="306">
        <v>1613.32</v>
      </c>
      <c r="I10" s="306">
        <f>H10</f>
        <v>1613.32</v>
      </c>
      <c r="J10" s="308">
        <v>22586.43</v>
      </c>
      <c r="K10" s="307">
        <f>(J10*31.8%)+J10</f>
        <v>29768.91474</v>
      </c>
      <c r="L10" s="4"/>
      <c r="M10" s="309" t="s">
        <v>364</v>
      </c>
      <c r="N10" s="4"/>
      <c r="O10" s="310">
        <v>41890</v>
      </c>
      <c r="P10" s="74" t="s">
        <v>365</v>
      </c>
      <c r="Q10" s="311">
        <v>70</v>
      </c>
      <c r="R10" s="311">
        <v>70</v>
      </c>
      <c r="S10" s="312">
        <v>45657</v>
      </c>
      <c r="T10" s="313" t="s">
        <v>366</v>
      </c>
      <c r="U10" s="7">
        <v>2</v>
      </c>
      <c r="V10" s="314"/>
      <c r="W10" s="75"/>
      <c r="X10" s="75" t="s">
        <v>0</v>
      </c>
      <c r="Y10" s="75"/>
      <c r="Z10" s="75"/>
      <c r="AA10" s="75"/>
      <c r="AB10" s="75"/>
    </row>
    <row r="11" spans="2:28" ht="36" x14ac:dyDescent="0.35">
      <c r="B11" s="72" t="s">
        <v>362</v>
      </c>
      <c r="C11" s="76" t="s">
        <v>363</v>
      </c>
      <c r="D11" s="315">
        <v>17032.400000000001</v>
      </c>
      <c r="E11" s="316"/>
      <c r="F11" s="317">
        <v>0</v>
      </c>
      <c r="G11" s="316"/>
      <c r="H11" s="317">
        <f>D11/14</f>
        <v>1216.6000000000001</v>
      </c>
      <c r="I11" s="317">
        <f>H11</f>
        <v>1216.6000000000001</v>
      </c>
      <c r="J11" s="318">
        <f>D11</f>
        <v>17032.400000000001</v>
      </c>
      <c r="K11" s="307">
        <f>(J11*31.8%)+J11</f>
        <v>22448.703200000004</v>
      </c>
      <c r="L11" s="11"/>
      <c r="M11" s="309" t="s">
        <v>364</v>
      </c>
      <c r="N11" s="11"/>
      <c r="O11" s="310">
        <v>41897</v>
      </c>
      <c r="P11" s="74" t="s">
        <v>365</v>
      </c>
      <c r="Q11" s="311">
        <v>80.2</v>
      </c>
      <c r="R11" s="311">
        <v>80.2</v>
      </c>
      <c r="S11" s="312">
        <v>45657</v>
      </c>
      <c r="T11" s="313" t="s">
        <v>367</v>
      </c>
      <c r="U11" s="13">
        <v>4</v>
      </c>
      <c r="V11" s="150"/>
      <c r="W11" s="77"/>
      <c r="X11" s="77"/>
      <c r="Y11" s="77"/>
      <c r="Z11" s="77"/>
      <c r="AA11" s="77"/>
      <c r="AB11" s="77"/>
    </row>
    <row r="12" spans="2:28" ht="36" x14ac:dyDescent="0.35">
      <c r="B12" s="72" t="s">
        <v>362</v>
      </c>
      <c r="C12" s="76" t="s">
        <v>363</v>
      </c>
      <c r="D12" s="319">
        <v>28977.34</v>
      </c>
      <c r="E12" s="316"/>
      <c r="F12" s="317">
        <v>2270.8000000000002</v>
      </c>
      <c r="G12" s="316"/>
      <c r="H12" s="317">
        <f>(D12+F12)/14</f>
        <v>2232.0099999999998</v>
      </c>
      <c r="I12" s="317">
        <f>H12</f>
        <v>2232.0099999999998</v>
      </c>
      <c r="J12" s="318">
        <v>33397.22</v>
      </c>
      <c r="K12" s="307">
        <f t="shared" ref="K12:K35" si="0">(J12*31.8%)+J12</f>
        <v>44017.535960000001</v>
      </c>
      <c r="L12" s="11"/>
      <c r="M12" s="311">
        <v>100</v>
      </c>
      <c r="N12" s="11"/>
      <c r="O12" s="310">
        <v>41890</v>
      </c>
      <c r="P12" s="74" t="s">
        <v>365</v>
      </c>
      <c r="Q12" s="311">
        <v>100</v>
      </c>
      <c r="R12" s="311">
        <v>100</v>
      </c>
      <c r="S12" s="11"/>
      <c r="T12" s="313" t="s">
        <v>366</v>
      </c>
      <c r="U12" s="13">
        <v>2</v>
      </c>
      <c r="V12" s="150"/>
      <c r="W12" s="77"/>
      <c r="X12" s="77"/>
      <c r="Y12" s="77"/>
      <c r="Z12" s="77"/>
      <c r="AA12" s="77"/>
      <c r="AB12" s="77"/>
    </row>
    <row r="13" spans="2:28" ht="36" x14ac:dyDescent="0.35">
      <c r="B13" s="72" t="s">
        <v>362</v>
      </c>
      <c r="C13" s="76" t="s">
        <v>363</v>
      </c>
      <c r="D13" s="319">
        <v>32382.560000000001</v>
      </c>
      <c r="E13" s="316"/>
      <c r="F13" s="317">
        <v>23815</v>
      </c>
      <c r="G13" s="316"/>
      <c r="H13" s="317">
        <v>3598.86</v>
      </c>
      <c r="I13" s="317">
        <f>H13</f>
        <v>3598.86</v>
      </c>
      <c r="J13" s="318">
        <f>D13+F13</f>
        <v>56197.56</v>
      </c>
      <c r="K13" s="307">
        <f t="shared" si="0"/>
        <v>74068.384079999989</v>
      </c>
      <c r="L13" s="11"/>
      <c r="M13" s="311">
        <v>100</v>
      </c>
      <c r="N13" s="11"/>
      <c r="O13" s="310">
        <v>41897</v>
      </c>
      <c r="P13" s="74" t="s">
        <v>365</v>
      </c>
      <c r="Q13" s="311">
        <v>100</v>
      </c>
      <c r="R13" s="311">
        <v>100</v>
      </c>
      <c r="S13" s="11"/>
      <c r="T13" s="313" t="s">
        <v>368</v>
      </c>
      <c r="U13" s="13">
        <v>1</v>
      </c>
      <c r="V13" s="150"/>
      <c r="W13" s="77"/>
      <c r="X13" s="77"/>
      <c r="Y13" s="77"/>
      <c r="Z13" s="77"/>
      <c r="AA13" s="77"/>
      <c r="AB13" s="77"/>
    </row>
    <row r="14" spans="2:28" ht="36" x14ac:dyDescent="0.35">
      <c r="B14" s="72" t="s">
        <v>362</v>
      </c>
      <c r="C14" s="76" t="s">
        <v>363</v>
      </c>
      <c r="D14" s="319">
        <v>11856.88</v>
      </c>
      <c r="E14" s="316"/>
      <c r="F14" s="317">
        <v>0</v>
      </c>
      <c r="G14" s="320"/>
      <c r="H14" s="317">
        <f>(D14+F14)/14</f>
        <v>846.92</v>
      </c>
      <c r="I14" s="317">
        <f t="shared" ref="I14:I35" si="1">H14</f>
        <v>846.92</v>
      </c>
      <c r="J14" s="318">
        <f t="shared" ref="J14:J15" si="2">D14+F14</f>
        <v>11856.88</v>
      </c>
      <c r="K14" s="307">
        <f t="shared" si="0"/>
        <v>15627.367839999999</v>
      </c>
      <c r="L14" s="11"/>
      <c r="M14" s="311">
        <v>100</v>
      </c>
      <c r="N14" s="11"/>
      <c r="O14" s="310">
        <v>41906</v>
      </c>
      <c r="P14" s="74" t="s">
        <v>365</v>
      </c>
      <c r="Q14" s="311">
        <v>55.83</v>
      </c>
      <c r="R14" s="311">
        <v>55.83</v>
      </c>
      <c r="S14" s="312">
        <v>45657</v>
      </c>
      <c r="T14" s="313" t="s">
        <v>367</v>
      </c>
      <c r="U14" s="13">
        <v>4</v>
      </c>
      <c r="V14" s="321"/>
      <c r="W14" s="77"/>
      <c r="X14" s="77"/>
      <c r="Y14" s="77"/>
      <c r="Z14" s="77"/>
      <c r="AA14" s="77"/>
      <c r="AB14" s="77"/>
    </row>
    <row r="15" spans="2:28" ht="36" x14ac:dyDescent="0.35">
      <c r="B15" s="72" t="s">
        <v>362</v>
      </c>
      <c r="C15" s="76" t="s">
        <v>363</v>
      </c>
      <c r="D15" s="319">
        <v>29995.42</v>
      </c>
      <c r="E15" s="316"/>
      <c r="F15" s="317">
        <v>14786.56</v>
      </c>
      <c r="G15" s="320"/>
      <c r="H15" s="317">
        <v>2304.73</v>
      </c>
      <c r="I15" s="317">
        <f t="shared" si="1"/>
        <v>2304.73</v>
      </c>
      <c r="J15" s="318">
        <f t="shared" si="2"/>
        <v>44781.979999999996</v>
      </c>
      <c r="K15" s="307">
        <f t="shared" si="0"/>
        <v>59022.649639999996</v>
      </c>
      <c r="L15" s="11"/>
      <c r="M15" s="311">
        <v>189</v>
      </c>
      <c r="N15" s="11"/>
      <c r="O15" s="310">
        <v>41918</v>
      </c>
      <c r="P15" s="74" t="s">
        <v>365</v>
      </c>
      <c r="Q15" s="311">
        <v>100</v>
      </c>
      <c r="R15" s="311">
        <v>100</v>
      </c>
      <c r="S15" s="11"/>
      <c r="T15" s="313" t="s">
        <v>369</v>
      </c>
      <c r="U15" s="13">
        <v>2</v>
      </c>
      <c r="V15" s="321"/>
      <c r="W15" s="77"/>
      <c r="X15" s="77"/>
      <c r="Y15" s="77"/>
      <c r="Z15" s="77"/>
      <c r="AA15" s="77"/>
      <c r="AB15" s="77"/>
    </row>
    <row r="16" spans="2:28" ht="36" x14ac:dyDescent="0.35">
      <c r="B16" s="72" t="s">
        <v>362</v>
      </c>
      <c r="C16" s="76" t="s">
        <v>363</v>
      </c>
      <c r="D16" s="319">
        <v>20762.7</v>
      </c>
      <c r="E16" s="316"/>
      <c r="F16" s="317">
        <v>1171.56</v>
      </c>
      <c r="G16" s="320"/>
      <c r="H16" s="317">
        <f>D16/14</f>
        <v>1483.05</v>
      </c>
      <c r="I16" s="317">
        <f t="shared" si="1"/>
        <v>1483.05</v>
      </c>
      <c r="J16" s="318">
        <f>D16+F16</f>
        <v>21934.260000000002</v>
      </c>
      <c r="K16" s="307">
        <f t="shared" si="0"/>
        <v>28909.354680000004</v>
      </c>
      <c r="L16" s="316"/>
      <c r="M16" s="311">
        <v>100</v>
      </c>
      <c r="N16" s="11"/>
      <c r="O16" s="310">
        <v>43335</v>
      </c>
      <c r="P16" s="74" t="s">
        <v>365</v>
      </c>
      <c r="Q16" s="311">
        <v>100</v>
      </c>
      <c r="R16" s="311">
        <v>100</v>
      </c>
      <c r="S16" s="11"/>
      <c r="T16" s="313" t="s">
        <v>367</v>
      </c>
      <c r="U16" s="13">
        <v>4</v>
      </c>
      <c r="V16" s="322"/>
      <c r="W16" s="77"/>
      <c r="X16" s="77"/>
      <c r="Y16" s="77"/>
      <c r="Z16" s="77"/>
      <c r="AA16" s="77"/>
      <c r="AB16" s="323"/>
    </row>
    <row r="17" spans="2:28" ht="36" x14ac:dyDescent="0.35">
      <c r="B17" s="72" t="s">
        <v>362</v>
      </c>
      <c r="C17" s="76" t="s">
        <v>363</v>
      </c>
      <c r="D17" s="319">
        <v>21041.02</v>
      </c>
      <c r="E17" s="316"/>
      <c r="F17" s="317">
        <v>0</v>
      </c>
      <c r="G17" s="320"/>
      <c r="H17" s="317">
        <f>D17/14</f>
        <v>1502.93</v>
      </c>
      <c r="I17" s="317">
        <f t="shared" si="1"/>
        <v>1502.93</v>
      </c>
      <c r="J17" s="318">
        <f t="shared" ref="J17:J35" si="3">D17+F17</f>
        <v>21041.02</v>
      </c>
      <c r="K17" s="307">
        <f t="shared" si="0"/>
        <v>27732.06436</v>
      </c>
      <c r="L17" s="316"/>
      <c r="M17" s="311">
        <v>100</v>
      </c>
      <c r="N17" s="11"/>
      <c r="O17" s="310">
        <v>42492</v>
      </c>
      <c r="P17" s="74" t="s">
        <v>365</v>
      </c>
      <c r="Q17" s="311">
        <v>100</v>
      </c>
      <c r="R17" s="311">
        <v>100</v>
      </c>
      <c r="S17" s="11"/>
      <c r="T17" s="313" t="s">
        <v>367</v>
      </c>
      <c r="U17" s="13">
        <v>4</v>
      </c>
      <c r="V17" s="322"/>
      <c r="W17" s="77"/>
      <c r="X17" s="77"/>
      <c r="Y17" s="77"/>
      <c r="Z17" s="77"/>
      <c r="AA17" s="77"/>
      <c r="AB17" s="323"/>
    </row>
    <row r="18" spans="2:28" ht="36" x14ac:dyDescent="0.35">
      <c r="B18" s="72" t="s">
        <v>362</v>
      </c>
      <c r="C18" s="76" t="s">
        <v>363</v>
      </c>
      <c r="D18" s="319">
        <v>20859.439999999999</v>
      </c>
      <c r="E18" s="316"/>
      <c r="F18" s="317">
        <v>1589.56</v>
      </c>
      <c r="G18" s="320"/>
      <c r="H18" s="317">
        <f>(D18+F18)/14</f>
        <v>1603.5</v>
      </c>
      <c r="I18" s="317">
        <f t="shared" si="1"/>
        <v>1603.5</v>
      </c>
      <c r="J18" s="318">
        <f t="shared" si="3"/>
        <v>22449</v>
      </c>
      <c r="K18" s="307">
        <f t="shared" si="0"/>
        <v>29587.781999999999</v>
      </c>
      <c r="L18" s="316"/>
      <c r="M18" s="311">
        <v>200</v>
      </c>
      <c r="N18" s="11"/>
      <c r="O18" s="310">
        <v>42737</v>
      </c>
      <c r="P18" s="74" t="s">
        <v>365</v>
      </c>
      <c r="Q18" s="311">
        <v>70</v>
      </c>
      <c r="R18" s="311">
        <v>70</v>
      </c>
      <c r="S18" s="312">
        <v>45657</v>
      </c>
      <c r="T18" s="313" t="s">
        <v>366</v>
      </c>
      <c r="U18" s="13">
        <v>2</v>
      </c>
      <c r="V18" s="322"/>
      <c r="W18" s="77"/>
      <c r="X18" s="77"/>
      <c r="Y18" s="77"/>
      <c r="Z18" s="77"/>
      <c r="AA18" s="77"/>
      <c r="AB18" s="323"/>
    </row>
    <row r="19" spans="2:28" ht="36" x14ac:dyDescent="0.35">
      <c r="B19" s="72" t="s">
        <v>362</v>
      </c>
      <c r="C19" s="76" t="s">
        <v>363</v>
      </c>
      <c r="D19" s="319">
        <v>3.25</v>
      </c>
      <c r="E19" s="316"/>
      <c r="F19" s="317"/>
      <c r="G19" s="320"/>
      <c r="H19" s="317">
        <v>0.22500000000000001</v>
      </c>
      <c r="I19" s="317">
        <f t="shared" si="1"/>
        <v>0.22500000000000001</v>
      </c>
      <c r="J19" s="318">
        <f t="shared" si="3"/>
        <v>3.25</v>
      </c>
      <c r="K19" s="307">
        <f t="shared" si="0"/>
        <v>4.2835000000000001</v>
      </c>
      <c r="L19" s="316"/>
      <c r="M19" s="311">
        <v>189</v>
      </c>
      <c r="N19" s="11"/>
      <c r="O19" s="310">
        <v>43024</v>
      </c>
      <c r="P19" s="74" t="s">
        <v>365</v>
      </c>
      <c r="Q19" s="311">
        <v>0.01</v>
      </c>
      <c r="R19" s="311">
        <v>0.01</v>
      </c>
      <c r="S19" s="11"/>
      <c r="T19" s="313" t="s">
        <v>366</v>
      </c>
      <c r="U19" s="13">
        <v>2</v>
      </c>
      <c r="V19" s="322"/>
      <c r="W19" s="77"/>
      <c r="X19" s="77"/>
      <c r="Y19" s="77"/>
      <c r="Z19" s="77"/>
      <c r="AA19" s="77"/>
      <c r="AB19" s="323" t="s">
        <v>370</v>
      </c>
    </row>
    <row r="20" spans="2:28" ht="36" x14ac:dyDescent="0.35">
      <c r="B20" s="72" t="s">
        <v>362</v>
      </c>
      <c r="C20" s="76" t="s">
        <v>363</v>
      </c>
      <c r="D20" s="319">
        <v>20230.28</v>
      </c>
      <c r="E20" s="316"/>
      <c r="F20" s="317">
        <v>1589.84</v>
      </c>
      <c r="G20" s="320"/>
      <c r="H20" s="317">
        <f>(D20+F20)/14</f>
        <v>1558.58</v>
      </c>
      <c r="I20" s="317">
        <f t="shared" si="1"/>
        <v>1558.58</v>
      </c>
      <c r="J20" s="318">
        <f t="shared" si="3"/>
        <v>21820.12</v>
      </c>
      <c r="K20" s="307">
        <f t="shared" si="0"/>
        <v>28758.918159999997</v>
      </c>
      <c r="L20" s="316"/>
      <c r="M20" s="311">
        <v>189</v>
      </c>
      <c r="N20" s="11"/>
      <c r="O20" s="310">
        <v>44137</v>
      </c>
      <c r="P20" s="74" t="s">
        <v>365</v>
      </c>
      <c r="Q20" s="311">
        <v>70</v>
      </c>
      <c r="R20" s="311">
        <v>70</v>
      </c>
      <c r="S20" s="312">
        <v>45657</v>
      </c>
      <c r="T20" s="313" t="s">
        <v>366</v>
      </c>
      <c r="U20" s="13">
        <v>2</v>
      </c>
      <c r="V20" s="322"/>
      <c r="W20" s="77"/>
      <c r="X20" s="77"/>
      <c r="Y20" s="77"/>
      <c r="Z20" s="77"/>
      <c r="AA20" s="77"/>
      <c r="AB20" s="323"/>
    </row>
    <row r="21" spans="2:28" ht="36" x14ac:dyDescent="0.35">
      <c r="B21" s="72" t="s">
        <v>362</v>
      </c>
      <c r="C21" s="76" t="s">
        <v>363</v>
      </c>
      <c r="D21" s="319">
        <v>9337.7199999999993</v>
      </c>
      <c r="E21" s="316"/>
      <c r="F21" s="317"/>
      <c r="G21" s="320"/>
      <c r="H21" s="317">
        <f>(D21+F21)/14</f>
        <v>666.9799999999999</v>
      </c>
      <c r="I21" s="317">
        <f t="shared" si="1"/>
        <v>666.9799999999999</v>
      </c>
      <c r="J21" s="318">
        <f t="shared" si="3"/>
        <v>9337.7199999999993</v>
      </c>
      <c r="K21" s="307">
        <f t="shared" si="0"/>
        <v>12307.114959999999</v>
      </c>
      <c r="L21" s="316"/>
      <c r="M21" s="311">
        <v>139</v>
      </c>
      <c r="N21" s="11"/>
      <c r="O21" s="310">
        <v>42744</v>
      </c>
      <c r="P21" s="74" t="s">
        <v>365</v>
      </c>
      <c r="Q21" s="311">
        <v>50</v>
      </c>
      <c r="R21" s="311">
        <v>50</v>
      </c>
      <c r="S21" s="312">
        <v>45657</v>
      </c>
      <c r="T21" s="313" t="s">
        <v>371</v>
      </c>
      <c r="U21" s="13">
        <v>5</v>
      </c>
      <c r="V21" s="322"/>
      <c r="W21" s="77"/>
      <c r="X21" s="77"/>
      <c r="Y21" s="77"/>
      <c r="Z21" s="77"/>
      <c r="AA21" s="77"/>
      <c r="AB21" s="323"/>
    </row>
    <row r="22" spans="2:28" ht="36" x14ac:dyDescent="0.35">
      <c r="B22" s="72" t="s">
        <v>362</v>
      </c>
      <c r="C22" s="76" t="s">
        <v>363</v>
      </c>
      <c r="D22" s="319">
        <v>29582.14</v>
      </c>
      <c r="E22" s="316"/>
      <c r="F22" s="317">
        <v>4393.04</v>
      </c>
      <c r="G22" s="320"/>
      <c r="H22" s="317">
        <v>2275.23</v>
      </c>
      <c r="I22" s="317">
        <f t="shared" si="1"/>
        <v>2275.23</v>
      </c>
      <c r="J22" s="318">
        <f t="shared" si="3"/>
        <v>33975.18</v>
      </c>
      <c r="K22" s="307">
        <f t="shared" si="0"/>
        <v>44779.287239999998</v>
      </c>
      <c r="L22" s="316"/>
      <c r="M22" s="311">
        <v>189</v>
      </c>
      <c r="N22" s="11"/>
      <c r="O22" s="310">
        <v>43785</v>
      </c>
      <c r="P22" s="74" t="s">
        <v>365</v>
      </c>
      <c r="Q22" s="311">
        <v>100</v>
      </c>
      <c r="R22" s="311">
        <v>100</v>
      </c>
      <c r="S22" s="11"/>
      <c r="T22" s="313" t="s">
        <v>366</v>
      </c>
      <c r="U22" s="13">
        <v>2</v>
      </c>
      <c r="V22" s="322"/>
      <c r="W22" s="77"/>
      <c r="X22" s="77"/>
      <c r="Y22" s="77"/>
      <c r="Z22" s="77"/>
      <c r="AA22" s="77"/>
      <c r="AB22" s="323"/>
    </row>
    <row r="23" spans="2:28" ht="36" x14ac:dyDescent="0.35">
      <c r="B23" s="72" t="s">
        <v>362</v>
      </c>
      <c r="C23" s="76" t="s">
        <v>363</v>
      </c>
      <c r="D23" s="319">
        <v>29693.72</v>
      </c>
      <c r="E23" s="316"/>
      <c r="F23" s="317">
        <v>3095.56</v>
      </c>
      <c r="G23" s="320"/>
      <c r="H23" s="317">
        <v>2283.1799999999998</v>
      </c>
      <c r="I23" s="317">
        <f t="shared" si="1"/>
        <v>2283.1799999999998</v>
      </c>
      <c r="J23" s="318">
        <f t="shared" si="3"/>
        <v>32789.279999999999</v>
      </c>
      <c r="K23" s="307">
        <f t="shared" si="0"/>
        <v>43216.27104</v>
      </c>
      <c r="L23" s="316"/>
      <c r="M23" s="311">
        <v>100</v>
      </c>
      <c r="N23" s="11"/>
      <c r="O23" s="310">
        <v>43466</v>
      </c>
      <c r="P23" s="74" t="s">
        <v>365</v>
      </c>
      <c r="Q23" s="311">
        <v>100</v>
      </c>
      <c r="R23" s="311">
        <v>100</v>
      </c>
      <c r="S23" s="11"/>
      <c r="T23" s="313" t="s">
        <v>366</v>
      </c>
      <c r="U23" s="13">
        <v>2</v>
      </c>
      <c r="V23" s="322"/>
      <c r="W23" s="77"/>
      <c r="X23" s="77"/>
      <c r="Y23" s="77"/>
      <c r="Z23" s="77"/>
      <c r="AA23" s="77"/>
      <c r="AB23" s="323"/>
    </row>
    <row r="24" spans="2:28" ht="36" x14ac:dyDescent="0.35">
      <c r="B24" s="72" t="s">
        <v>362</v>
      </c>
      <c r="C24" s="76" t="s">
        <v>363</v>
      </c>
      <c r="D24" s="319">
        <v>20232.099999999999</v>
      </c>
      <c r="E24" s="316"/>
      <c r="F24" s="317">
        <v>0</v>
      </c>
      <c r="G24" s="320"/>
      <c r="H24" s="317">
        <v>2283.1799999999998</v>
      </c>
      <c r="I24" s="317">
        <f t="shared" si="1"/>
        <v>2283.1799999999998</v>
      </c>
      <c r="J24" s="318">
        <f t="shared" si="3"/>
        <v>20232.099999999999</v>
      </c>
      <c r="K24" s="307">
        <f t="shared" si="0"/>
        <v>26665.907799999997</v>
      </c>
      <c r="L24" s="316"/>
      <c r="M24" s="311">
        <v>189</v>
      </c>
      <c r="N24" s="11"/>
      <c r="O24" s="310">
        <v>43653</v>
      </c>
      <c r="P24" s="74" t="s">
        <v>365</v>
      </c>
      <c r="Q24" s="311">
        <v>100</v>
      </c>
      <c r="R24" s="311">
        <v>100</v>
      </c>
      <c r="S24" s="11"/>
      <c r="T24" s="313" t="s">
        <v>367</v>
      </c>
      <c r="U24" s="13">
        <v>4</v>
      </c>
      <c r="V24" s="322"/>
      <c r="W24" s="77"/>
      <c r="X24" s="77"/>
      <c r="Y24" s="77"/>
      <c r="Z24" s="77"/>
      <c r="AA24" s="77"/>
      <c r="AB24" s="323"/>
    </row>
    <row r="25" spans="2:28" ht="36" x14ac:dyDescent="0.35">
      <c r="B25" s="72" t="s">
        <v>362</v>
      </c>
      <c r="C25" s="76" t="s">
        <v>363</v>
      </c>
      <c r="D25" s="319">
        <v>30664.76</v>
      </c>
      <c r="E25" s="316"/>
      <c r="F25" s="317">
        <v>21380.240000000002</v>
      </c>
      <c r="G25" s="320"/>
      <c r="H25" s="317">
        <f>(D25+F25)/14</f>
        <v>3717.5</v>
      </c>
      <c r="I25" s="317">
        <f t="shared" si="1"/>
        <v>3717.5</v>
      </c>
      <c r="J25" s="318">
        <f t="shared" si="3"/>
        <v>52045</v>
      </c>
      <c r="K25" s="307">
        <f t="shared" si="0"/>
        <v>68595.31</v>
      </c>
      <c r="L25" s="316"/>
      <c r="M25" s="311">
        <v>100</v>
      </c>
      <c r="N25" s="17"/>
      <c r="O25" s="310">
        <v>43626</v>
      </c>
      <c r="P25" s="74" t="s">
        <v>365</v>
      </c>
      <c r="Q25" s="311">
        <v>100</v>
      </c>
      <c r="R25" s="311">
        <v>100</v>
      </c>
      <c r="S25" s="11"/>
      <c r="T25" s="313" t="s">
        <v>372</v>
      </c>
      <c r="U25" s="13">
        <v>1</v>
      </c>
      <c r="V25" s="322"/>
      <c r="W25" s="77"/>
      <c r="X25" s="77"/>
      <c r="Y25" s="77"/>
      <c r="Z25" s="77"/>
      <c r="AA25" s="77"/>
      <c r="AB25" s="323"/>
    </row>
    <row r="26" spans="2:28" ht="36" x14ac:dyDescent="0.35">
      <c r="B26" s="72" t="s">
        <v>362</v>
      </c>
      <c r="C26" s="76" t="s">
        <v>363</v>
      </c>
      <c r="D26" s="319">
        <v>28540.12</v>
      </c>
      <c r="E26" s="316"/>
      <c r="F26" s="317">
        <v>2271.2199999999998</v>
      </c>
      <c r="G26" s="320"/>
      <c r="H26" s="317">
        <f>(D26+F26)/14</f>
        <v>2200.81</v>
      </c>
      <c r="I26" s="317">
        <f t="shared" si="1"/>
        <v>2200.81</v>
      </c>
      <c r="J26" s="318">
        <f t="shared" si="3"/>
        <v>30811.34</v>
      </c>
      <c r="K26" s="307">
        <f t="shared" si="0"/>
        <v>40609.346120000002</v>
      </c>
      <c r="L26" s="316"/>
      <c r="M26" s="311">
        <v>100</v>
      </c>
      <c r="N26" s="11"/>
      <c r="O26" s="310">
        <v>43908</v>
      </c>
      <c r="P26" s="74" t="s">
        <v>365</v>
      </c>
      <c r="Q26" s="311">
        <v>100</v>
      </c>
      <c r="R26" s="311">
        <v>100</v>
      </c>
      <c r="S26" s="312">
        <v>45657</v>
      </c>
      <c r="T26" s="313" t="s">
        <v>366</v>
      </c>
      <c r="U26" s="13">
        <v>2</v>
      </c>
      <c r="V26" s="322"/>
      <c r="W26" s="77"/>
      <c r="X26" s="77"/>
      <c r="Y26" s="77"/>
      <c r="Z26" s="77"/>
      <c r="AA26" s="77"/>
      <c r="AB26" s="323"/>
    </row>
    <row r="27" spans="2:28" ht="36" x14ac:dyDescent="0.35">
      <c r="B27" s="72" t="s">
        <v>362</v>
      </c>
      <c r="C27" s="76" t="s">
        <v>363</v>
      </c>
      <c r="D27" s="319">
        <v>28417.34</v>
      </c>
      <c r="E27" s="316"/>
      <c r="F27" s="317">
        <v>2271.2199999999998</v>
      </c>
      <c r="G27" s="320"/>
      <c r="H27" s="317">
        <f>(D27+F27)/14</f>
        <v>2192.04</v>
      </c>
      <c r="I27" s="317">
        <f t="shared" si="1"/>
        <v>2192.04</v>
      </c>
      <c r="J27" s="318">
        <f t="shared" si="3"/>
        <v>30688.560000000001</v>
      </c>
      <c r="K27" s="307">
        <f t="shared" si="0"/>
        <v>40447.522080000002</v>
      </c>
      <c r="L27" s="316"/>
      <c r="M27" s="311">
        <v>100</v>
      </c>
      <c r="N27" s="11"/>
      <c r="O27" s="310">
        <v>44461</v>
      </c>
      <c r="P27" s="74" t="s">
        <v>365</v>
      </c>
      <c r="Q27" s="311">
        <v>100</v>
      </c>
      <c r="R27" s="311">
        <v>100</v>
      </c>
      <c r="S27" s="11"/>
      <c r="T27" s="313" t="s">
        <v>366</v>
      </c>
      <c r="U27" s="13">
        <v>2</v>
      </c>
      <c r="V27" s="322"/>
      <c r="W27" s="77"/>
      <c r="X27" s="77"/>
      <c r="Y27" s="77"/>
      <c r="Z27" s="77"/>
      <c r="AA27" s="77"/>
      <c r="AB27" s="323"/>
    </row>
    <row r="28" spans="2:28" ht="36" x14ac:dyDescent="0.35">
      <c r="B28" s="72" t="s">
        <v>362</v>
      </c>
      <c r="C28" s="76" t="s">
        <v>363</v>
      </c>
      <c r="D28" s="319">
        <v>14808.64</v>
      </c>
      <c r="E28" s="316"/>
      <c r="F28" s="317">
        <v>3913.28</v>
      </c>
      <c r="G28" s="320"/>
      <c r="H28" s="317">
        <f t="shared" ref="H28:H35" si="4">(D28+F28)/14</f>
        <v>1337.28</v>
      </c>
      <c r="I28" s="317">
        <f t="shared" si="1"/>
        <v>1337.28</v>
      </c>
      <c r="J28" s="318">
        <f t="shared" si="3"/>
        <v>18721.919999999998</v>
      </c>
      <c r="K28" s="307">
        <f t="shared" si="0"/>
        <v>24675.490559999998</v>
      </c>
      <c r="L28" s="316"/>
      <c r="M28" s="311">
        <v>530</v>
      </c>
      <c r="N28" s="11"/>
      <c r="O28" s="310">
        <v>44963</v>
      </c>
      <c r="P28" s="74" t="s">
        <v>365</v>
      </c>
      <c r="Q28" s="311">
        <v>75</v>
      </c>
      <c r="R28" s="311">
        <v>75</v>
      </c>
      <c r="S28" s="312">
        <v>45657</v>
      </c>
      <c r="T28" s="313" t="s">
        <v>373</v>
      </c>
      <c r="U28" s="13">
        <v>4</v>
      </c>
      <c r="V28" s="322"/>
      <c r="W28" s="77"/>
      <c r="X28" s="77"/>
      <c r="Y28" s="77"/>
      <c r="Z28" s="77"/>
      <c r="AA28" s="77"/>
      <c r="AB28" s="323"/>
    </row>
    <row r="29" spans="2:28" ht="36" x14ac:dyDescent="0.35">
      <c r="B29" s="72" t="s">
        <v>362</v>
      </c>
      <c r="C29" s="76" t="s">
        <v>363</v>
      </c>
      <c r="D29" s="319">
        <v>19806.919999999998</v>
      </c>
      <c r="E29" s="316"/>
      <c r="F29" s="317">
        <v>1589.84</v>
      </c>
      <c r="G29" s="320"/>
      <c r="H29" s="317">
        <f t="shared" si="4"/>
        <v>1528.34</v>
      </c>
      <c r="I29" s="317">
        <f t="shared" si="1"/>
        <v>1528.34</v>
      </c>
      <c r="J29" s="318">
        <f t="shared" si="3"/>
        <v>21396.76</v>
      </c>
      <c r="K29" s="307">
        <f t="shared" si="0"/>
        <v>28200.929679999997</v>
      </c>
      <c r="L29" s="316"/>
      <c r="M29" s="311">
        <v>289</v>
      </c>
      <c r="N29" s="11"/>
      <c r="O29" s="310">
        <v>45063</v>
      </c>
      <c r="P29" s="74" t="s">
        <v>365</v>
      </c>
      <c r="Q29" s="311">
        <v>70</v>
      </c>
      <c r="R29" s="311">
        <v>70</v>
      </c>
      <c r="S29" s="312">
        <v>45657</v>
      </c>
      <c r="T29" s="313" t="s">
        <v>366</v>
      </c>
      <c r="U29" s="13">
        <v>2</v>
      </c>
      <c r="V29" s="322"/>
      <c r="W29" s="77"/>
      <c r="X29" s="77"/>
      <c r="Y29" s="77"/>
      <c r="Z29" s="77"/>
      <c r="AA29" s="77"/>
      <c r="AB29" s="323"/>
    </row>
    <row r="30" spans="2:28" ht="36" x14ac:dyDescent="0.35">
      <c r="B30" s="72" t="s">
        <v>362</v>
      </c>
      <c r="C30" s="76" t="s">
        <v>363</v>
      </c>
      <c r="D30" s="319">
        <v>19621.98</v>
      </c>
      <c r="E30" s="316"/>
      <c r="F30" s="317">
        <v>0</v>
      </c>
      <c r="G30" s="320"/>
      <c r="H30" s="317">
        <f t="shared" si="4"/>
        <v>1401.57</v>
      </c>
      <c r="I30" s="317">
        <f t="shared" si="1"/>
        <v>1401.57</v>
      </c>
      <c r="J30" s="318">
        <f t="shared" si="3"/>
        <v>19621.98</v>
      </c>
      <c r="K30" s="307">
        <f t="shared" si="0"/>
        <v>25861.769639999999</v>
      </c>
      <c r="L30" s="316"/>
      <c r="M30" s="311">
        <v>402</v>
      </c>
      <c r="N30" s="78"/>
      <c r="O30" s="310">
        <v>45122</v>
      </c>
      <c r="P30" s="79">
        <v>45565</v>
      </c>
      <c r="Q30" s="311">
        <v>100</v>
      </c>
      <c r="R30" s="311">
        <v>100</v>
      </c>
      <c r="S30" s="11"/>
      <c r="T30" s="313" t="s">
        <v>367</v>
      </c>
      <c r="U30" s="13">
        <v>4</v>
      </c>
      <c r="V30" s="322"/>
      <c r="W30" s="77"/>
      <c r="X30" s="77"/>
      <c r="Y30" s="77"/>
      <c r="Z30" s="77"/>
      <c r="AA30" s="77"/>
      <c r="AB30" s="323"/>
    </row>
    <row r="31" spans="2:28" ht="36" x14ac:dyDescent="0.35">
      <c r="B31" s="72" t="s">
        <v>362</v>
      </c>
      <c r="C31" s="76" t="s">
        <v>363</v>
      </c>
      <c r="D31" s="319">
        <v>8829.89</v>
      </c>
      <c r="E31" s="316"/>
      <c r="F31" s="317">
        <v>0</v>
      </c>
      <c r="G31" s="320"/>
      <c r="H31" s="317">
        <f t="shared" si="4"/>
        <v>630.70642857142855</v>
      </c>
      <c r="I31" s="317">
        <f t="shared" si="1"/>
        <v>630.70642857142855</v>
      </c>
      <c r="J31" s="318">
        <f t="shared" si="3"/>
        <v>8829.89</v>
      </c>
      <c r="K31" s="307">
        <f t="shared" si="0"/>
        <v>11637.79502</v>
      </c>
      <c r="L31" s="316"/>
      <c r="M31" s="311">
        <v>402</v>
      </c>
      <c r="N31" s="78"/>
      <c r="O31" s="310">
        <v>45122</v>
      </c>
      <c r="P31" s="79">
        <v>45565</v>
      </c>
      <c r="Q31" s="311">
        <v>45</v>
      </c>
      <c r="R31" s="311">
        <v>45</v>
      </c>
      <c r="S31" s="11"/>
      <c r="T31" s="313" t="s">
        <v>367</v>
      </c>
      <c r="U31" s="13">
        <v>4</v>
      </c>
      <c r="V31" s="322"/>
      <c r="W31" s="77"/>
      <c r="X31" s="77"/>
      <c r="Y31" s="77"/>
      <c r="Z31" s="77"/>
      <c r="AA31" s="77"/>
      <c r="AB31" s="323"/>
    </row>
    <row r="32" spans="2:28" ht="36" x14ac:dyDescent="0.35">
      <c r="B32" s="72" t="s">
        <v>362</v>
      </c>
      <c r="C32" s="76" t="s">
        <v>363</v>
      </c>
      <c r="D32" s="319">
        <v>19721.099999999999</v>
      </c>
      <c r="E32" s="316"/>
      <c r="F32" s="317">
        <v>1589.84</v>
      </c>
      <c r="G32" s="320"/>
      <c r="H32" s="317">
        <f t="shared" si="4"/>
        <v>1522.2099999999998</v>
      </c>
      <c r="I32" s="317">
        <f t="shared" si="1"/>
        <v>1522.2099999999998</v>
      </c>
      <c r="J32" s="318">
        <f t="shared" si="3"/>
        <v>21310.94</v>
      </c>
      <c r="K32" s="307">
        <f t="shared" si="0"/>
        <v>28087.818919999998</v>
      </c>
      <c r="L32" s="316"/>
      <c r="M32" s="311">
        <v>402</v>
      </c>
      <c r="N32" s="78"/>
      <c r="O32" s="310">
        <v>45227</v>
      </c>
      <c r="P32" s="79">
        <v>45596</v>
      </c>
      <c r="Q32" s="311">
        <v>70</v>
      </c>
      <c r="R32" s="311">
        <v>70</v>
      </c>
      <c r="S32" s="11"/>
      <c r="T32" s="313" t="s">
        <v>366</v>
      </c>
      <c r="U32" s="13">
        <v>2</v>
      </c>
      <c r="V32" s="322"/>
      <c r="W32" s="77"/>
      <c r="X32" s="77"/>
      <c r="Y32" s="77"/>
      <c r="Z32" s="77"/>
      <c r="AA32" s="77"/>
      <c r="AB32" s="323"/>
    </row>
    <row r="33" spans="2:30" ht="36" x14ac:dyDescent="0.35">
      <c r="B33" s="72" t="s">
        <v>362</v>
      </c>
      <c r="C33" s="76" t="s">
        <v>363</v>
      </c>
      <c r="D33" s="319">
        <v>30176.44</v>
      </c>
      <c r="E33" s="316"/>
      <c r="F33" s="317">
        <v>21380.240000000002</v>
      </c>
      <c r="G33" s="320"/>
      <c r="H33" s="317">
        <f t="shared" si="4"/>
        <v>3682.62</v>
      </c>
      <c r="I33" s="317">
        <f t="shared" si="1"/>
        <v>3682.62</v>
      </c>
      <c r="J33" s="318">
        <f t="shared" si="3"/>
        <v>51556.68</v>
      </c>
      <c r="K33" s="307">
        <f t="shared" si="0"/>
        <v>67951.704239999992</v>
      </c>
      <c r="L33" s="316"/>
      <c r="M33" s="311">
        <v>410</v>
      </c>
      <c r="N33" s="11"/>
      <c r="O33" s="310">
        <v>45257</v>
      </c>
      <c r="P33" s="80" t="s">
        <v>374</v>
      </c>
      <c r="Q33" s="311">
        <v>100</v>
      </c>
      <c r="R33" s="311">
        <v>100</v>
      </c>
      <c r="S33" s="11"/>
      <c r="T33" s="313" t="s">
        <v>372</v>
      </c>
      <c r="U33" s="13">
        <v>1</v>
      </c>
      <c r="V33" s="322"/>
      <c r="W33" s="77"/>
      <c r="X33" s="77"/>
      <c r="Y33" s="77"/>
      <c r="Z33" s="77"/>
      <c r="AA33" s="77"/>
      <c r="AB33" s="323"/>
    </row>
    <row r="34" spans="2:30" ht="36" x14ac:dyDescent="0.35">
      <c r="B34" s="72" t="s">
        <v>362</v>
      </c>
      <c r="C34" s="76" t="s">
        <v>363</v>
      </c>
      <c r="D34" s="319">
        <v>19621.98</v>
      </c>
      <c r="E34" s="316"/>
      <c r="F34" s="317">
        <v>0</v>
      </c>
      <c r="G34" s="320"/>
      <c r="H34" s="317">
        <f t="shared" si="4"/>
        <v>1401.57</v>
      </c>
      <c r="I34" s="317">
        <f t="shared" si="1"/>
        <v>1401.57</v>
      </c>
      <c r="J34" s="318">
        <f t="shared" si="3"/>
        <v>19621.98</v>
      </c>
      <c r="K34" s="307">
        <f t="shared" si="0"/>
        <v>25861.769639999999</v>
      </c>
      <c r="L34" s="316"/>
      <c r="M34" s="311">
        <v>402</v>
      </c>
      <c r="N34" s="78"/>
      <c r="O34" s="310">
        <v>45122</v>
      </c>
      <c r="P34" s="79">
        <v>45565</v>
      </c>
      <c r="Q34" s="311">
        <v>100</v>
      </c>
      <c r="R34" s="311">
        <v>100</v>
      </c>
      <c r="S34" s="11"/>
      <c r="T34" s="313" t="s">
        <v>367</v>
      </c>
      <c r="U34" s="13">
        <v>4</v>
      </c>
      <c r="V34" s="322"/>
      <c r="W34" s="77"/>
      <c r="X34" s="77"/>
      <c r="Y34" s="77"/>
      <c r="Z34" s="77"/>
      <c r="AA34" s="77"/>
      <c r="AB34" s="323"/>
    </row>
    <row r="35" spans="2:30" ht="36" x14ac:dyDescent="0.35">
      <c r="B35" s="72" t="s">
        <v>362</v>
      </c>
      <c r="C35" s="76" t="s">
        <v>363</v>
      </c>
      <c r="D35" s="319">
        <v>19621.98</v>
      </c>
      <c r="E35" s="316"/>
      <c r="F35" s="317">
        <v>0</v>
      </c>
      <c r="G35" s="320"/>
      <c r="H35" s="317">
        <f t="shared" si="4"/>
        <v>1401.57</v>
      </c>
      <c r="I35" s="317">
        <f t="shared" si="1"/>
        <v>1401.57</v>
      </c>
      <c r="J35" s="318">
        <f t="shared" si="3"/>
        <v>19621.98</v>
      </c>
      <c r="K35" s="307">
        <f t="shared" si="0"/>
        <v>25861.769639999999</v>
      </c>
      <c r="L35" s="316"/>
      <c r="M35" s="311">
        <v>402</v>
      </c>
      <c r="N35" s="78"/>
      <c r="O35" s="310">
        <v>45122</v>
      </c>
      <c r="P35" s="79">
        <v>45565</v>
      </c>
      <c r="Q35" s="311">
        <v>100</v>
      </c>
      <c r="R35" s="311">
        <v>100</v>
      </c>
      <c r="S35" s="11"/>
      <c r="T35" s="313" t="s">
        <v>367</v>
      </c>
      <c r="U35" s="13">
        <v>4</v>
      </c>
      <c r="V35" s="322"/>
      <c r="W35" s="77"/>
      <c r="X35" s="77"/>
      <c r="Y35" s="77"/>
      <c r="Z35" s="77"/>
      <c r="AA35" s="77"/>
      <c r="AB35" s="323"/>
    </row>
    <row r="36" spans="2:30" s="82" customFormat="1" x14ac:dyDescent="0.35">
      <c r="B36" s="81"/>
      <c r="L36" s="83"/>
      <c r="W36" s="83"/>
      <c r="Y36" s="84"/>
      <c r="Z36" s="84"/>
      <c r="AA36" s="84"/>
      <c r="AB36" s="84"/>
      <c r="AC36" s="84"/>
    </row>
    <row r="37" spans="2:30" s="82" customFormat="1" x14ac:dyDescent="0.35">
      <c r="L37" s="83"/>
      <c r="W37" s="83"/>
      <c r="Z37" s="84"/>
      <c r="AA37" s="84"/>
      <c r="AB37" s="84"/>
      <c r="AC37" s="84"/>
      <c r="AD37" s="84"/>
    </row>
    <row r="38" spans="2:30" ht="19" thickBot="1" x14ac:dyDescent="0.5">
      <c r="B38" s="18" t="s">
        <v>17</v>
      </c>
      <c r="C38" s="1"/>
    </row>
    <row r="39" spans="2:30" ht="32" thickBot="1" x14ac:dyDescent="0.4">
      <c r="B39" s="2" t="s">
        <v>344</v>
      </c>
      <c r="C39" s="2" t="s">
        <v>2</v>
      </c>
      <c r="D39" s="2" t="s">
        <v>21</v>
      </c>
      <c r="E39" s="2" t="s">
        <v>1</v>
      </c>
      <c r="F39" s="2" t="s">
        <v>22</v>
      </c>
      <c r="G39" s="2" t="s">
        <v>14</v>
      </c>
      <c r="H39" s="2" t="s">
        <v>18</v>
      </c>
      <c r="I39" s="2" t="s">
        <v>15</v>
      </c>
      <c r="J39" s="2" t="s">
        <v>10</v>
      </c>
      <c r="K39" s="2" t="s">
        <v>23</v>
      </c>
      <c r="L39" s="2" t="s">
        <v>16</v>
      </c>
      <c r="M39" s="2" t="s">
        <v>3</v>
      </c>
      <c r="N39" s="2" t="s">
        <v>11</v>
      </c>
      <c r="O39" s="2" t="s">
        <v>4</v>
      </c>
      <c r="P39" s="2" t="s">
        <v>5</v>
      </c>
      <c r="Q39" s="2" t="s">
        <v>24</v>
      </c>
      <c r="R39" s="2" t="s">
        <v>25</v>
      </c>
      <c r="S39" s="2" t="s">
        <v>26</v>
      </c>
      <c r="T39" s="2" t="s">
        <v>27</v>
      </c>
      <c r="U39" s="2" t="s">
        <v>6</v>
      </c>
      <c r="V39" s="2" t="s">
        <v>7</v>
      </c>
      <c r="W39" s="2" t="s">
        <v>28</v>
      </c>
      <c r="X39" s="2" t="s">
        <v>29</v>
      </c>
      <c r="Y39" s="2" t="s">
        <v>30</v>
      </c>
      <c r="Z39" s="2" t="s">
        <v>31</v>
      </c>
      <c r="AA39" s="3" t="s">
        <v>8</v>
      </c>
      <c r="AB39" s="3" t="s">
        <v>9</v>
      </c>
    </row>
    <row r="40" spans="2:30" ht="36" x14ac:dyDescent="0.35">
      <c r="B40" s="4" t="s">
        <v>362</v>
      </c>
      <c r="C40" s="76" t="s">
        <v>363</v>
      </c>
      <c r="D40" s="319">
        <v>30185.54</v>
      </c>
      <c r="E40" s="307"/>
      <c r="F40" s="307">
        <v>17236.349999999999</v>
      </c>
      <c r="G40" s="307"/>
      <c r="H40" s="307">
        <v>3387.28</v>
      </c>
      <c r="I40" s="307">
        <v>3387.28</v>
      </c>
      <c r="J40" s="315">
        <v>47421.89</v>
      </c>
      <c r="K40" s="324">
        <f t="shared" ref="K40:K41" si="5">(J40*31.8%)+J40</f>
        <v>62502.051019999999</v>
      </c>
      <c r="L40" s="4"/>
      <c r="M40" s="4" t="s">
        <v>365</v>
      </c>
      <c r="N40" s="4"/>
      <c r="O40" s="325"/>
      <c r="P40" s="7"/>
      <c r="Q40" s="4">
        <v>100</v>
      </c>
      <c r="R40" s="4">
        <v>100</v>
      </c>
      <c r="S40" s="312">
        <v>44674</v>
      </c>
      <c r="T40" s="9" t="s">
        <v>375</v>
      </c>
      <c r="U40" s="7">
        <v>1</v>
      </c>
      <c r="V40" s="314"/>
      <c r="W40" s="75"/>
      <c r="X40" s="75" t="s">
        <v>0</v>
      </c>
      <c r="Y40" s="75"/>
      <c r="Z40" s="75"/>
      <c r="AA40" s="75"/>
      <c r="AB40" s="337" t="s">
        <v>376</v>
      </c>
    </row>
    <row r="41" spans="2:30" s="90" customFormat="1" ht="36" x14ac:dyDescent="0.35">
      <c r="B41" s="85" t="s">
        <v>362</v>
      </c>
      <c r="C41" s="86" t="s">
        <v>363</v>
      </c>
      <c r="D41" s="326">
        <v>19320.52</v>
      </c>
      <c r="E41" s="327"/>
      <c r="F41" s="328">
        <v>0</v>
      </c>
      <c r="G41" s="329"/>
      <c r="H41" s="328">
        <v>1380.04</v>
      </c>
      <c r="I41" s="328">
        <v>1380.04</v>
      </c>
      <c r="J41" s="330">
        <v>19320.52</v>
      </c>
      <c r="K41" s="331">
        <f t="shared" si="5"/>
        <v>25464.445360000002</v>
      </c>
      <c r="L41" s="327"/>
      <c r="M41" s="332" t="s">
        <v>365</v>
      </c>
      <c r="N41" s="87"/>
      <c r="O41" s="333"/>
      <c r="P41" s="87"/>
      <c r="Q41" s="334">
        <v>100</v>
      </c>
      <c r="R41" s="334">
        <v>100</v>
      </c>
      <c r="S41" s="87">
        <v>45049</v>
      </c>
      <c r="T41" s="335" t="s">
        <v>367</v>
      </c>
      <c r="U41" s="88">
        <v>4</v>
      </c>
      <c r="V41" s="336"/>
      <c r="W41" s="89"/>
      <c r="X41" s="89"/>
      <c r="Y41" s="89"/>
      <c r="Z41" s="89"/>
      <c r="AA41" s="89"/>
      <c r="AB41" s="89" t="s">
        <v>377</v>
      </c>
    </row>
    <row r="42" spans="2:30" x14ac:dyDescent="0.35">
      <c r="B42" s="91"/>
      <c r="C42" s="91"/>
      <c r="D42" s="92"/>
      <c r="E42" s="93"/>
      <c r="F42" s="93"/>
      <c r="G42" s="93"/>
      <c r="H42" s="93"/>
      <c r="I42" s="93"/>
      <c r="J42" s="93"/>
      <c r="K42" s="93"/>
      <c r="L42" s="93"/>
      <c r="M42" s="91"/>
      <c r="N42" s="91"/>
      <c r="O42" s="91"/>
      <c r="P42" s="94"/>
      <c r="Q42" s="95"/>
      <c r="R42" s="96"/>
      <c r="S42" s="96"/>
      <c r="T42" s="96"/>
      <c r="U42" s="97"/>
      <c r="V42" s="97"/>
      <c r="W42" s="98"/>
      <c r="X42" s="84"/>
      <c r="Y42" s="84"/>
      <c r="Z42" s="84"/>
      <c r="AA42" s="84"/>
      <c r="AB42" s="84"/>
      <c r="AC42" s="84"/>
    </row>
    <row r="43" spans="2:30" x14ac:dyDescent="0.35">
      <c r="B43" s="91"/>
      <c r="C43" s="91"/>
      <c r="D43" s="92"/>
      <c r="E43" s="93"/>
      <c r="F43" s="93"/>
      <c r="G43" s="93"/>
      <c r="H43" s="93"/>
      <c r="I43" s="93"/>
      <c r="J43" s="93"/>
      <c r="K43" s="93"/>
      <c r="L43" s="93"/>
      <c r="M43" s="91"/>
      <c r="N43" s="91"/>
      <c r="O43" s="91"/>
      <c r="P43" s="94"/>
      <c r="Q43" s="95"/>
      <c r="R43" s="96"/>
      <c r="S43" s="96"/>
      <c r="T43" s="96"/>
      <c r="U43" s="97"/>
      <c r="V43" s="97"/>
      <c r="W43" s="98"/>
      <c r="X43" s="84"/>
      <c r="Y43" s="84"/>
      <c r="Z43" s="84"/>
      <c r="AA43" s="84"/>
      <c r="AB43" s="84"/>
      <c r="AC43" s="84"/>
    </row>
    <row r="44" spans="2:30" s="82" customFormat="1" x14ac:dyDescent="0.35">
      <c r="B44" s="81"/>
      <c r="C44" s="81"/>
      <c r="F44" s="81"/>
      <c r="G44" s="81"/>
      <c r="H44" s="81"/>
      <c r="I44" s="81"/>
      <c r="J44" s="81"/>
      <c r="K44" s="81"/>
      <c r="L44" s="99"/>
      <c r="M44" s="81"/>
      <c r="N44" s="81"/>
      <c r="O44" s="81"/>
      <c r="P44" s="81"/>
      <c r="Q44" s="81"/>
      <c r="W44" s="83"/>
    </row>
    <row r="45" spans="2:30" ht="18.5" x14ac:dyDescent="0.45">
      <c r="B45" s="18"/>
      <c r="C45" s="1"/>
    </row>
    <row r="46" spans="2:30" x14ac:dyDescent="0.35">
      <c r="B46" s="100"/>
      <c r="C46" s="100"/>
    </row>
    <row r="47" spans="2:30" x14ac:dyDescent="0.35">
      <c r="B47" s="101"/>
      <c r="C47" s="101"/>
    </row>
    <row r="48" spans="2:30" x14ac:dyDescent="0.35">
      <c r="B48" s="101"/>
      <c r="C48" s="101"/>
    </row>
    <row r="49" spans="2:3" x14ac:dyDescent="0.35">
      <c r="B49" s="101"/>
      <c r="C49" s="101"/>
    </row>
    <row r="50" spans="2:3" x14ac:dyDescent="0.35">
      <c r="B50" s="101"/>
      <c r="C50" s="101"/>
    </row>
    <row r="51" spans="2:3" x14ac:dyDescent="0.35">
      <c r="B51" s="101"/>
      <c r="C51" s="101"/>
    </row>
    <row r="52" spans="2:3" x14ac:dyDescent="0.35">
      <c r="B52" s="101"/>
      <c r="C52" s="101"/>
    </row>
  </sheetData>
  <mergeCells count="2">
    <mergeCell ref="C4:E4"/>
    <mergeCell ref="C5:D5"/>
  </mergeCells>
  <pageMargins left="0.7" right="0.7" top="0.75" bottom="0.75" header="0.3" footer="0.3"/>
  <pageSetup paperSize="9" scale="2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64"/>
  <sheetViews>
    <sheetView zoomScaleNormal="100" workbookViewId="0">
      <selection activeCell="D8" sqref="D8"/>
    </sheetView>
  </sheetViews>
  <sheetFormatPr defaultColWidth="11.453125" defaultRowHeight="14.5" x14ac:dyDescent="0.35"/>
  <cols>
    <col min="1" max="1" width="15.54296875" customWidth="1"/>
    <col min="2" max="2" width="20.26953125" style="20" customWidth="1"/>
    <col min="3" max="3" width="13.54296875" customWidth="1"/>
    <col min="4" max="4" width="13.54296875" style="20" customWidth="1"/>
    <col min="5" max="5" width="14.453125" customWidth="1"/>
    <col min="6" max="6" width="15.26953125" customWidth="1"/>
    <col min="7" max="7" width="25.54296875" customWidth="1"/>
    <col min="8" max="8" width="12.81640625" customWidth="1"/>
    <col min="9" max="9" width="13.7265625" customWidth="1"/>
    <col min="10" max="10" width="14.7265625" customWidth="1"/>
    <col min="11" max="11" width="17.1796875" customWidth="1"/>
    <col min="12" max="12" width="14.1796875" customWidth="1"/>
    <col min="13" max="13" width="11.81640625" customWidth="1"/>
    <col min="14" max="14" width="11.26953125" customWidth="1"/>
    <col min="15" max="15" width="13.26953125" customWidth="1"/>
    <col min="16" max="16" width="12" customWidth="1"/>
    <col min="17" max="17" width="18" customWidth="1"/>
    <col min="18" max="18" width="15" customWidth="1"/>
    <col min="19" max="19" width="18.7265625" customWidth="1"/>
    <col min="20" max="20" width="18.26953125" customWidth="1"/>
    <col min="21" max="21" width="11.54296875" customWidth="1"/>
    <col min="22" max="22" width="17.1796875" customWidth="1"/>
    <col min="23" max="23" width="13.26953125" style="21" customWidth="1"/>
    <col min="24" max="24" width="15.54296875" customWidth="1"/>
    <col min="25" max="25" width="12.1796875" customWidth="1"/>
    <col min="26" max="28" width="19.1796875" customWidth="1"/>
    <col min="29" max="30" width="25.54296875" customWidth="1"/>
  </cols>
  <sheetData>
    <row r="2" spans="2:28" ht="18.5" x14ac:dyDescent="0.45">
      <c r="B2" s="18" t="s">
        <v>13</v>
      </c>
      <c r="C2" s="1"/>
    </row>
    <row r="3" spans="2:28" x14ac:dyDescent="0.35">
      <c r="B3" s="22"/>
      <c r="C3" s="23"/>
      <c r="F3" s="23"/>
      <c r="Q3" s="23"/>
      <c r="R3" s="23"/>
      <c r="S3" s="23"/>
    </row>
    <row r="4" spans="2:28" ht="15.5" x14ac:dyDescent="0.35">
      <c r="B4" s="24" t="s">
        <v>12</v>
      </c>
      <c r="C4" s="423" t="s">
        <v>33</v>
      </c>
      <c r="D4" s="424"/>
      <c r="E4" s="428"/>
      <c r="Q4" s="23"/>
      <c r="R4" s="23"/>
      <c r="S4" s="23"/>
    </row>
    <row r="5" spans="2:28" ht="15.5" x14ac:dyDescent="0.35">
      <c r="B5" s="24" t="s">
        <v>343</v>
      </c>
      <c r="C5" s="423" t="s">
        <v>34</v>
      </c>
      <c r="D5" s="424" t="s">
        <v>34</v>
      </c>
      <c r="E5" s="49"/>
      <c r="Q5" s="23"/>
      <c r="R5" s="23"/>
      <c r="S5" s="23"/>
    </row>
    <row r="6" spans="2:28" ht="15.5" x14ac:dyDescent="0.35">
      <c r="B6" s="25" t="s">
        <v>19</v>
      </c>
      <c r="C6" s="423" t="s">
        <v>35</v>
      </c>
      <c r="D6" s="424"/>
      <c r="E6" s="49"/>
      <c r="Q6" s="23"/>
      <c r="R6" s="23"/>
      <c r="S6" s="23"/>
    </row>
    <row r="7" spans="2:28" ht="15.5" x14ac:dyDescent="0.35">
      <c r="B7" s="24" t="s">
        <v>32</v>
      </c>
      <c r="C7" s="47">
        <v>45629</v>
      </c>
      <c r="D7" s="48"/>
      <c r="E7" s="50"/>
    </row>
    <row r="8" spans="2:28" ht="15" thickBot="1" x14ac:dyDescent="0.4">
      <c r="B8" s="29"/>
      <c r="G8" s="27"/>
      <c r="N8" s="26"/>
      <c r="O8" s="30"/>
      <c r="P8" s="26"/>
      <c r="Q8" s="28"/>
    </row>
    <row r="9" spans="2:28" ht="33.75" customHeight="1" thickBot="1" x14ac:dyDescent="0.4">
      <c r="B9" s="2" t="s">
        <v>344</v>
      </c>
      <c r="C9" s="2" t="s">
        <v>2</v>
      </c>
      <c r="D9" s="2" t="s">
        <v>21</v>
      </c>
      <c r="E9" s="2" t="s">
        <v>1</v>
      </c>
      <c r="F9" s="2" t="s">
        <v>22</v>
      </c>
      <c r="G9" s="2" t="s">
        <v>14</v>
      </c>
      <c r="H9" s="2" t="s">
        <v>18</v>
      </c>
      <c r="I9" s="2" t="s">
        <v>15</v>
      </c>
      <c r="J9" s="2" t="s">
        <v>10</v>
      </c>
      <c r="K9" s="2" t="s">
        <v>23</v>
      </c>
      <c r="L9" s="2" t="s">
        <v>16</v>
      </c>
      <c r="M9" s="2" t="s">
        <v>3</v>
      </c>
      <c r="N9" s="2" t="s">
        <v>11</v>
      </c>
      <c r="O9" s="2" t="s">
        <v>4</v>
      </c>
      <c r="P9" s="2" t="s">
        <v>5</v>
      </c>
      <c r="Q9" s="2" t="s">
        <v>24</v>
      </c>
      <c r="R9" s="2" t="s">
        <v>25</v>
      </c>
      <c r="S9" s="2" t="s">
        <v>26</v>
      </c>
      <c r="T9" s="2" t="s">
        <v>27</v>
      </c>
      <c r="U9" s="2" t="s">
        <v>6</v>
      </c>
      <c r="V9" s="2" t="s">
        <v>7</v>
      </c>
      <c r="W9" s="2" t="s">
        <v>28</v>
      </c>
      <c r="X9" s="2" t="s">
        <v>29</v>
      </c>
      <c r="Y9" s="2" t="s">
        <v>30</v>
      </c>
      <c r="Z9" s="2" t="s">
        <v>31</v>
      </c>
      <c r="AA9" s="3" t="s">
        <v>8</v>
      </c>
      <c r="AB9" s="3" t="s">
        <v>9</v>
      </c>
    </row>
    <row r="10" spans="2:28" ht="36" x14ac:dyDescent="0.35">
      <c r="B10" s="80" t="s">
        <v>36</v>
      </c>
      <c r="C10" s="256"/>
      <c r="D10" s="340">
        <v>21871.64</v>
      </c>
      <c r="E10" s="341">
        <v>3987.3947527749742</v>
      </c>
      <c r="F10" s="340">
        <v>4063.2339000000029</v>
      </c>
      <c r="G10" s="340" t="s">
        <v>37</v>
      </c>
      <c r="H10" s="340">
        <v>1788.6119931034484</v>
      </c>
      <c r="I10" s="340">
        <v>1788.6119931034484</v>
      </c>
      <c r="J10" s="340">
        <v>29922.268652774976</v>
      </c>
      <c r="K10" s="340">
        <v>39497.39462166297</v>
      </c>
      <c r="L10" s="340" t="s">
        <v>38</v>
      </c>
      <c r="M10" s="341">
        <v>100</v>
      </c>
      <c r="N10" s="80"/>
      <c r="O10" s="341" t="s">
        <v>39</v>
      </c>
      <c r="P10" s="341">
        <v>0</v>
      </c>
      <c r="Q10" s="342">
        <v>1</v>
      </c>
      <c r="R10" s="343">
        <v>1</v>
      </c>
      <c r="S10" s="344">
        <v>0</v>
      </c>
      <c r="T10" s="258" t="s">
        <v>40</v>
      </c>
      <c r="U10" s="345" t="s">
        <v>41</v>
      </c>
      <c r="V10" s="80" t="s">
        <v>42</v>
      </c>
      <c r="W10" s="261"/>
      <c r="X10" s="261"/>
      <c r="Y10" s="261"/>
      <c r="Z10" s="261"/>
      <c r="AA10" s="261"/>
      <c r="AB10" s="261"/>
    </row>
    <row r="11" spans="2:28" ht="36" x14ac:dyDescent="0.35">
      <c r="B11" s="80" t="s">
        <v>43</v>
      </c>
      <c r="C11" s="256"/>
      <c r="D11" s="340">
        <v>21191.079999999998</v>
      </c>
      <c r="E11" s="341">
        <v>3987.3947527749742</v>
      </c>
      <c r="F11" s="340">
        <v>3813.5565999999999</v>
      </c>
      <c r="G11" s="340" t="s">
        <v>37</v>
      </c>
      <c r="H11" s="340">
        <v>1724.457696551724</v>
      </c>
      <c r="I11" s="340">
        <v>1724.457696551724</v>
      </c>
      <c r="J11" s="340">
        <v>28992.031352774971</v>
      </c>
      <c r="K11" s="340">
        <v>38269.481385662963</v>
      </c>
      <c r="L11" s="340" t="s">
        <v>38</v>
      </c>
      <c r="M11" s="341">
        <v>100</v>
      </c>
      <c r="N11" s="80"/>
      <c r="O11" s="341" t="s">
        <v>44</v>
      </c>
      <c r="P11" s="341">
        <v>0</v>
      </c>
      <c r="Q11" s="342">
        <v>1</v>
      </c>
      <c r="R11" s="343">
        <v>1</v>
      </c>
      <c r="S11" s="344">
        <v>0</v>
      </c>
      <c r="T11" s="258" t="s">
        <v>40</v>
      </c>
      <c r="U11" s="345" t="s">
        <v>41</v>
      </c>
      <c r="V11" s="80" t="s">
        <v>42</v>
      </c>
      <c r="W11" s="261"/>
      <c r="X11" s="261"/>
      <c r="Y11" s="261"/>
      <c r="Z11" s="261"/>
      <c r="AA11" s="261"/>
      <c r="AB11" s="261"/>
    </row>
    <row r="12" spans="2:28" ht="36" x14ac:dyDescent="0.35">
      <c r="B12" s="80" t="s">
        <v>36</v>
      </c>
      <c r="C12" s="256"/>
      <c r="D12" s="340">
        <v>31676.92</v>
      </c>
      <c r="E12" s="341">
        <v>9750.1238241235915</v>
      </c>
      <c r="F12" s="340">
        <v>17479.772800000006</v>
      </c>
      <c r="G12" s="340" t="s">
        <v>37</v>
      </c>
      <c r="H12" s="340">
        <v>3390.1167448275864</v>
      </c>
      <c r="I12" s="340">
        <v>3390.1167448275864</v>
      </c>
      <c r="J12" s="340">
        <v>58906.816624123596</v>
      </c>
      <c r="K12" s="340">
        <v>77006.816624123603</v>
      </c>
      <c r="L12" s="340" t="s">
        <v>38</v>
      </c>
      <c r="M12" s="341">
        <v>100</v>
      </c>
      <c r="N12" s="80"/>
      <c r="O12" s="341" t="s">
        <v>45</v>
      </c>
      <c r="P12" s="341">
        <v>0</v>
      </c>
      <c r="Q12" s="342">
        <v>1</v>
      </c>
      <c r="R12" s="343">
        <v>1</v>
      </c>
      <c r="S12" s="344">
        <v>0</v>
      </c>
      <c r="T12" s="258" t="s">
        <v>46</v>
      </c>
      <c r="U12" s="345" t="s">
        <v>47</v>
      </c>
      <c r="V12" s="80" t="s">
        <v>42</v>
      </c>
      <c r="W12" s="261"/>
      <c r="X12" s="261"/>
      <c r="Y12" s="261"/>
      <c r="Z12" s="261"/>
      <c r="AA12" s="261"/>
      <c r="AB12" s="261"/>
    </row>
    <row r="13" spans="2:28" ht="36" x14ac:dyDescent="0.35">
      <c r="B13" s="80" t="s">
        <v>43</v>
      </c>
      <c r="C13" s="256"/>
      <c r="D13" s="340">
        <v>20759.839999999997</v>
      </c>
      <c r="E13" s="341">
        <v>3987.3947527749742</v>
      </c>
      <c r="F13" s="340">
        <v>2132.5479000000014</v>
      </c>
      <c r="G13" s="340" t="s">
        <v>37</v>
      </c>
      <c r="H13" s="340">
        <v>1578.7853724137929</v>
      </c>
      <c r="I13" s="340">
        <v>1578.7853724137929</v>
      </c>
      <c r="J13" s="340">
        <v>26879.782652774971</v>
      </c>
      <c r="K13" s="340">
        <v>35481.313101662963</v>
      </c>
      <c r="L13" s="340" t="s">
        <v>38</v>
      </c>
      <c r="M13" s="341">
        <v>189</v>
      </c>
      <c r="N13" s="80"/>
      <c r="O13" s="341" t="s">
        <v>48</v>
      </c>
      <c r="P13" s="341">
        <v>0</v>
      </c>
      <c r="Q13" s="342">
        <v>1</v>
      </c>
      <c r="R13" s="343">
        <v>1</v>
      </c>
      <c r="S13" s="344">
        <v>0</v>
      </c>
      <c r="T13" s="258" t="s">
        <v>40</v>
      </c>
      <c r="U13" s="345" t="s">
        <v>41</v>
      </c>
      <c r="V13" s="80" t="s">
        <v>42</v>
      </c>
      <c r="W13" s="261"/>
      <c r="X13" s="261"/>
      <c r="Y13" s="261"/>
      <c r="Z13" s="261"/>
      <c r="AA13" s="261"/>
      <c r="AB13" s="261"/>
    </row>
    <row r="14" spans="2:28" ht="36" x14ac:dyDescent="0.35">
      <c r="B14" s="80" t="s">
        <v>43</v>
      </c>
      <c r="C14" s="256"/>
      <c r="D14" s="340">
        <v>30291.379999999997</v>
      </c>
      <c r="E14" s="341">
        <v>9391.245828503841</v>
      </c>
      <c r="F14" s="340">
        <v>7928.0745000000024</v>
      </c>
      <c r="G14" s="340" t="s">
        <v>37</v>
      </c>
      <c r="H14" s="340">
        <v>2635.8244482758619</v>
      </c>
      <c r="I14" s="340">
        <v>2635.8244482758619</v>
      </c>
      <c r="J14" s="340">
        <v>47610.700328503837</v>
      </c>
      <c r="K14" s="340">
        <v>62846.124433625067</v>
      </c>
      <c r="L14" s="340" t="s">
        <v>38</v>
      </c>
      <c r="M14" s="341">
        <v>100</v>
      </c>
      <c r="N14" s="80"/>
      <c r="O14" s="341" t="s">
        <v>49</v>
      </c>
      <c r="P14" s="341">
        <v>0</v>
      </c>
      <c r="Q14" s="342">
        <v>1</v>
      </c>
      <c r="R14" s="343">
        <v>1</v>
      </c>
      <c r="S14" s="344">
        <v>0</v>
      </c>
      <c r="T14" s="258" t="s">
        <v>50</v>
      </c>
      <c r="U14" s="345" t="s">
        <v>51</v>
      </c>
      <c r="V14" s="80" t="s">
        <v>42</v>
      </c>
      <c r="W14" s="261"/>
      <c r="X14" s="261"/>
      <c r="Y14" s="261"/>
      <c r="Z14" s="261"/>
      <c r="AA14" s="261"/>
      <c r="AB14" s="261"/>
    </row>
    <row r="15" spans="2:28" ht="36" x14ac:dyDescent="0.35">
      <c r="B15" s="80" t="s">
        <v>43</v>
      </c>
      <c r="C15" s="256"/>
      <c r="D15" s="340">
        <v>26376.79</v>
      </c>
      <c r="E15" s="341">
        <v>2823.1609271523184</v>
      </c>
      <c r="F15" s="340">
        <v>8775.390250000004</v>
      </c>
      <c r="G15" s="340" t="s">
        <v>37</v>
      </c>
      <c r="H15" s="340">
        <v>2424.2882931034487</v>
      </c>
      <c r="I15" s="340">
        <v>2424.2882931034487</v>
      </c>
      <c r="J15" s="340">
        <v>37975.341177152324</v>
      </c>
      <c r="K15" s="340">
        <v>50127.450353841072</v>
      </c>
      <c r="L15" s="340" t="s">
        <v>38</v>
      </c>
      <c r="M15" s="341">
        <v>100</v>
      </c>
      <c r="N15" s="80"/>
      <c r="O15" s="341" t="s">
        <v>52</v>
      </c>
      <c r="P15" s="341">
        <v>0</v>
      </c>
      <c r="Q15" s="342">
        <v>1</v>
      </c>
      <c r="R15" s="343">
        <v>1</v>
      </c>
      <c r="S15" s="344">
        <v>0</v>
      </c>
      <c r="T15" s="258" t="s">
        <v>53</v>
      </c>
      <c r="U15" s="345" t="s">
        <v>54</v>
      </c>
      <c r="V15" s="80" t="s">
        <v>42</v>
      </c>
      <c r="W15" s="261"/>
      <c r="X15" s="261"/>
      <c r="Y15" s="261"/>
      <c r="Z15" s="261"/>
      <c r="AA15" s="261"/>
      <c r="AB15" s="261"/>
    </row>
    <row r="16" spans="2:28" ht="36" x14ac:dyDescent="0.35">
      <c r="B16" s="80" t="s">
        <v>43</v>
      </c>
      <c r="C16" s="256" t="s">
        <v>0</v>
      </c>
      <c r="D16" s="340">
        <v>21150.219999999998</v>
      </c>
      <c r="E16" s="341">
        <v>3987.3947527749742</v>
      </c>
      <c r="F16" s="340">
        <v>2391.6304000000018</v>
      </c>
      <c r="G16" s="340" t="s">
        <v>37</v>
      </c>
      <c r="H16" s="340">
        <v>1623.5758896551724</v>
      </c>
      <c r="I16" s="340">
        <v>1623.5758896551724</v>
      </c>
      <c r="J16" s="340">
        <v>27529.245152774973</v>
      </c>
      <c r="K16" s="340">
        <v>36338.603601662966</v>
      </c>
      <c r="L16" s="340" t="s">
        <v>38</v>
      </c>
      <c r="M16" s="341">
        <v>100</v>
      </c>
      <c r="N16" s="80"/>
      <c r="O16" s="341" t="s">
        <v>55</v>
      </c>
      <c r="P16" s="341">
        <v>0</v>
      </c>
      <c r="Q16" s="342">
        <v>1</v>
      </c>
      <c r="R16" s="343">
        <v>1</v>
      </c>
      <c r="S16" s="344">
        <v>0</v>
      </c>
      <c r="T16" s="258" t="s">
        <v>40</v>
      </c>
      <c r="U16" s="345" t="s">
        <v>41</v>
      </c>
      <c r="V16" s="80" t="s">
        <v>42</v>
      </c>
      <c r="W16" s="261"/>
      <c r="X16" s="261"/>
      <c r="Y16" s="261"/>
      <c r="Z16" s="261"/>
      <c r="AA16" s="261"/>
      <c r="AB16" s="261"/>
    </row>
    <row r="17" spans="1:35" ht="36" x14ac:dyDescent="0.35">
      <c r="B17" s="80" t="s">
        <v>43</v>
      </c>
      <c r="C17" s="256"/>
      <c r="D17" s="340">
        <v>18561.199999999997</v>
      </c>
      <c r="E17" s="341">
        <v>2325.6560294117644</v>
      </c>
      <c r="F17" s="340">
        <v>2027.0088000000032</v>
      </c>
      <c r="G17" s="340" t="s">
        <v>37</v>
      </c>
      <c r="H17" s="340">
        <v>1419.8764689655172</v>
      </c>
      <c r="I17" s="340">
        <v>1419.8764689655172</v>
      </c>
      <c r="J17" s="340">
        <v>22913.864829411767</v>
      </c>
      <c r="K17" s="340">
        <v>30246.301574823534</v>
      </c>
      <c r="L17" s="340" t="s">
        <v>38</v>
      </c>
      <c r="M17" s="341">
        <v>100</v>
      </c>
      <c r="N17" s="115"/>
      <c r="O17" s="341" t="s">
        <v>56</v>
      </c>
      <c r="P17" s="341">
        <v>0</v>
      </c>
      <c r="Q17" s="342">
        <v>1</v>
      </c>
      <c r="R17" s="343">
        <v>1</v>
      </c>
      <c r="S17" s="344">
        <v>0</v>
      </c>
      <c r="T17" s="258" t="s">
        <v>57</v>
      </c>
      <c r="U17" s="345" t="s">
        <v>58</v>
      </c>
      <c r="V17" s="80" t="s">
        <v>42</v>
      </c>
      <c r="W17" s="261"/>
      <c r="X17" s="261"/>
      <c r="Y17" s="261"/>
      <c r="Z17" s="261"/>
      <c r="AA17" s="261"/>
      <c r="AB17" s="261"/>
    </row>
    <row r="18" spans="1:35" ht="36" x14ac:dyDescent="0.35">
      <c r="B18" s="80" t="s">
        <v>43</v>
      </c>
      <c r="C18" s="256"/>
      <c r="D18" s="340">
        <v>29455.649999999998</v>
      </c>
      <c r="E18" s="341">
        <v>9391.245828503841</v>
      </c>
      <c r="F18" s="340">
        <v>4391.6643500000027</v>
      </c>
      <c r="G18" s="340" t="s">
        <v>37</v>
      </c>
      <c r="H18" s="340">
        <v>2334.2975413793106</v>
      </c>
      <c r="I18" s="340">
        <v>2334.2975413793106</v>
      </c>
      <c r="J18" s="340">
        <v>43238.560178503845</v>
      </c>
      <c r="K18" s="340">
        <v>57074.899435625077</v>
      </c>
      <c r="L18" s="340" t="s">
        <v>38</v>
      </c>
      <c r="M18" s="341">
        <v>100</v>
      </c>
      <c r="N18" s="80"/>
      <c r="O18" s="341" t="s">
        <v>59</v>
      </c>
      <c r="P18" s="341">
        <v>0</v>
      </c>
      <c r="Q18" s="342">
        <v>1</v>
      </c>
      <c r="R18" s="343">
        <v>1</v>
      </c>
      <c r="S18" s="344">
        <v>0</v>
      </c>
      <c r="T18" s="258" t="s">
        <v>50</v>
      </c>
      <c r="U18" s="345" t="s">
        <v>51</v>
      </c>
      <c r="V18" s="80" t="s">
        <v>42</v>
      </c>
      <c r="W18" s="261"/>
      <c r="X18" s="261"/>
      <c r="Y18" s="261"/>
      <c r="Z18" s="261"/>
      <c r="AA18" s="261"/>
      <c r="AB18" s="261"/>
    </row>
    <row r="19" spans="1:35" ht="36" x14ac:dyDescent="0.35">
      <c r="B19" s="80" t="s">
        <v>43</v>
      </c>
      <c r="C19" s="256"/>
      <c r="D19" s="340">
        <v>15680.66</v>
      </c>
      <c r="E19" s="341">
        <v>11655.644303267974</v>
      </c>
      <c r="F19" s="340">
        <v>24012.5517</v>
      </c>
      <c r="G19" s="340" t="s">
        <v>37</v>
      </c>
      <c r="H19" s="340">
        <v>2737.4628758620688</v>
      </c>
      <c r="I19" s="340">
        <v>2737.4628758620688</v>
      </c>
      <c r="J19" s="340">
        <v>51348.856003267974</v>
      </c>
      <c r="K19" s="340">
        <v>67780.489924313733</v>
      </c>
      <c r="L19" s="340" t="s">
        <v>38</v>
      </c>
      <c r="M19" s="341">
        <v>200</v>
      </c>
      <c r="N19" s="80"/>
      <c r="O19" s="341" t="s">
        <v>60</v>
      </c>
      <c r="P19" s="341">
        <v>0</v>
      </c>
      <c r="Q19" s="342">
        <v>0.5</v>
      </c>
      <c r="R19" s="343">
        <v>0.5</v>
      </c>
      <c r="S19" s="344">
        <v>0</v>
      </c>
      <c r="T19" s="258" t="s">
        <v>61</v>
      </c>
      <c r="U19" s="345" t="s">
        <v>47</v>
      </c>
      <c r="V19" s="80" t="s">
        <v>42</v>
      </c>
      <c r="W19" s="261"/>
      <c r="X19" s="261"/>
      <c r="Y19" s="261"/>
      <c r="Z19" s="261"/>
      <c r="AA19" s="261"/>
      <c r="AB19" s="261"/>
    </row>
    <row r="20" spans="1:35" ht="36" x14ac:dyDescent="0.35">
      <c r="B20" s="80" t="s">
        <v>36</v>
      </c>
      <c r="C20" s="256"/>
      <c r="D20" s="340">
        <v>20586.579999999998</v>
      </c>
      <c r="E20" s="341">
        <v>3987.3947527749742</v>
      </c>
      <c r="F20" s="340">
        <v>2299.2667000000001</v>
      </c>
      <c r="G20" s="340" t="s">
        <v>37</v>
      </c>
      <c r="H20" s="340">
        <v>1578.3342551724136</v>
      </c>
      <c r="I20" s="340">
        <v>1578.3342551724136</v>
      </c>
      <c r="J20" s="340">
        <v>26873.241452774972</v>
      </c>
      <c r="K20" s="340">
        <v>35472.678717662966</v>
      </c>
      <c r="L20" s="340" t="s">
        <v>38</v>
      </c>
      <c r="M20" s="341">
        <v>189</v>
      </c>
      <c r="N20" s="80"/>
      <c r="O20" s="341" t="s">
        <v>62</v>
      </c>
      <c r="P20" s="341">
        <v>0</v>
      </c>
      <c r="Q20" s="342">
        <v>1</v>
      </c>
      <c r="R20" s="343">
        <v>1</v>
      </c>
      <c r="S20" s="344">
        <v>0</v>
      </c>
      <c r="T20" s="258" t="s">
        <v>40</v>
      </c>
      <c r="U20" s="345" t="s">
        <v>41</v>
      </c>
      <c r="V20" s="80" t="s">
        <v>42</v>
      </c>
      <c r="W20" s="261"/>
      <c r="X20" s="261"/>
      <c r="Y20" s="261"/>
      <c r="Z20" s="261"/>
      <c r="AA20" s="261"/>
      <c r="AB20" s="261"/>
    </row>
    <row r="21" spans="1:35" ht="36" x14ac:dyDescent="0.35">
      <c r="B21" s="80" t="s">
        <v>36</v>
      </c>
      <c r="C21" s="256"/>
      <c r="D21" s="340">
        <v>29184.579999999998</v>
      </c>
      <c r="E21" s="341">
        <v>9391.245828503841</v>
      </c>
      <c r="F21" s="340">
        <v>9406.6671999999999</v>
      </c>
      <c r="G21" s="340" t="s">
        <v>37</v>
      </c>
      <c r="H21" s="340">
        <v>2661.465324137931</v>
      </c>
      <c r="I21" s="340">
        <v>2661.465324137931</v>
      </c>
      <c r="J21" s="340">
        <v>47982.493028503843</v>
      </c>
      <c r="K21" s="340">
        <v>63336.890797625078</v>
      </c>
      <c r="L21" s="340" t="s">
        <v>38</v>
      </c>
      <c r="M21" s="341">
        <v>100</v>
      </c>
      <c r="N21" s="80"/>
      <c r="O21" s="341" t="s">
        <v>63</v>
      </c>
      <c r="P21" s="341">
        <v>0</v>
      </c>
      <c r="Q21" s="342">
        <v>1</v>
      </c>
      <c r="R21" s="343">
        <v>1</v>
      </c>
      <c r="S21" s="344">
        <v>0</v>
      </c>
      <c r="T21" s="258" t="s">
        <v>50</v>
      </c>
      <c r="U21" s="345" t="s">
        <v>51</v>
      </c>
      <c r="V21" s="80" t="s">
        <v>42</v>
      </c>
      <c r="W21" s="261"/>
      <c r="X21" s="261"/>
      <c r="Y21" s="261"/>
      <c r="Z21" s="261"/>
      <c r="AA21" s="261"/>
      <c r="AB21" s="261"/>
    </row>
    <row r="22" spans="1:35" ht="36" x14ac:dyDescent="0.35">
      <c r="B22" s="80" t="s">
        <v>43</v>
      </c>
      <c r="C22" s="256"/>
      <c r="D22" s="340">
        <v>20429.739999999998</v>
      </c>
      <c r="E22" s="341">
        <v>1619.8840465116282</v>
      </c>
      <c r="F22" s="340">
        <v>3427.4749000000011</v>
      </c>
      <c r="G22" s="340" t="s">
        <v>37</v>
      </c>
      <c r="H22" s="340">
        <v>1645.3251655172412</v>
      </c>
      <c r="I22" s="340">
        <v>1645.3251655172412</v>
      </c>
      <c r="J22" s="340">
        <v>25477.098946511629</v>
      </c>
      <c r="K22" s="340">
        <v>33629.770609395353</v>
      </c>
      <c r="L22" s="340" t="s">
        <v>38</v>
      </c>
      <c r="M22" s="341">
        <v>189</v>
      </c>
      <c r="N22" s="80"/>
      <c r="O22" s="164">
        <v>45550</v>
      </c>
      <c r="P22" s="164">
        <v>45550</v>
      </c>
      <c r="Q22" s="342">
        <v>1</v>
      </c>
      <c r="R22" s="343">
        <v>1</v>
      </c>
      <c r="S22" s="344">
        <v>0</v>
      </c>
      <c r="T22" s="258" t="s">
        <v>65</v>
      </c>
      <c r="U22" s="345" t="s">
        <v>41</v>
      </c>
      <c r="V22" s="80" t="s">
        <v>42</v>
      </c>
      <c r="W22" s="261"/>
      <c r="X22" s="261"/>
      <c r="Y22" s="261"/>
      <c r="Z22" s="261"/>
      <c r="AA22" s="261"/>
      <c r="AB22" s="261"/>
    </row>
    <row r="23" spans="1:35" ht="36" x14ac:dyDescent="0.35">
      <c r="B23" s="80" t="s">
        <v>43</v>
      </c>
      <c r="C23" s="256"/>
      <c r="D23" s="340">
        <v>20228.599999999999</v>
      </c>
      <c r="E23" s="341">
        <v>3987.3947527749742</v>
      </c>
      <c r="F23" s="340">
        <v>1850.8161</v>
      </c>
      <c r="G23" s="340" t="s">
        <v>37</v>
      </c>
      <c r="H23" s="340">
        <v>1522.7183517241378</v>
      </c>
      <c r="I23" s="340">
        <v>1522.7183517241378</v>
      </c>
      <c r="J23" s="340">
        <v>26066.810852774972</v>
      </c>
      <c r="K23" s="340">
        <v>34408.190325662967</v>
      </c>
      <c r="L23" s="340" t="s">
        <v>38</v>
      </c>
      <c r="M23" s="341">
        <v>189</v>
      </c>
      <c r="N23" s="80"/>
      <c r="O23" s="341" t="s">
        <v>66</v>
      </c>
      <c r="P23" s="341">
        <v>0</v>
      </c>
      <c r="Q23" s="342">
        <v>1</v>
      </c>
      <c r="R23" s="343">
        <v>1</v>
      </c>
      <c r="S23" s="344">
        <v>0</v>
      </c>
      <c r="T23" s="258" t="s">
        <v>40</v>
      </c>
      <c r="U23" s="345" t="s">
        <v>41</v>
      </c>
      <c r="V23" s="80" t="s">
        <v>42</v>
      </c>
      <c r="W23" s="261"/>
      <c r="X23" s="261"/>
      <c r="Y23" s="261"/>
      <c r="Z23" s="261"/>
      <c r="AA23" s="261"/>
      <c r="AB23" s="261"/>
    </row>
    <row r="24" spans="1:35" ht="36" x14ac:dyDescent="0.35">
      <c r="B24" s="80" t="s">
        <v>43</v>
      </c>
      <c r="C24" s="256"/>
      <c r="D24" s="340">
        <v>30291.379999999997</v>
      </c>
      <c r="E24" s="341">
        <v>2961.4411162790702</v>
      </c>
      <c r="F24" s="340">
        <v>18659.513400000003</v>
      </c>
      <c r="G24" s="340" t="s">
        <v>37</v>
      </c>
      <c r="H24" s="340">
        <v>3375.9236827586205</v>
      </c>
      <c r="I24" s="340">
        <v>3375.9236827586205</v>
      </c>
      <c r="J24" s="340">
        <v>51912.334516279072</v>
      </c>
      <c r="K24" s="340">
        <v>68524.281561488373</v>
      </c>
      <c r="L24" s="340" t="s">
        <v>38</v>
      </c>
      <c r="M24" s="341">
        <v>100</v>
      </c>
      <c r="N24" s="80"/>
      <c r="O24" s="341" t="s">
        <v>67</v>
      </c>
      <c r="P24" s="341">
        <v>0</v>
      </c>
      <c r="Q24" s="342">
        <v>1</v>
      </c>
      <c r="R24" s="343">
        <v>1</v>
      </c>
      <c r="S24" s="344">
        <v>0</v>
      </c>
      <c r="T24" s="258" t="s">
        <v>68</v>
      </c>
      <c r="U24" s="345" t="s">
        <v>51</v>
      </c>
      <c r="V24" s="80" t="s">
        <v>42</v>
      </c>
      <c r="W24" s="261"/>
      <c r="X24" s="261"/>
      <c r="Y24" s="261"/>
      <c r="Z24" s="261"/>
      <c r="AA24" s="261"/>
      <c r="AB24" s="261"/>
    </row>
    <row r="25" spans="1:35" ht="36" x14ac:dyDescent="0.35">
      <c r="B25" s="80" t="s">
        <v>43</v>
      </c>
      <c r="C25" s="256"/>
      <c r="D25" s="340">
        <v>29290.489999999998</v>
      </c>
      <c r="E25" s="341">
        <v>9391.245828503841</v>
      </c>
      <c r="F25" s="340">
        <v>7448.2831499999957</v>
      </c>
      <c r="G25" s="340" t="s">
        <v>37</v>
      </c>
      <c r="H25" s="340">
        <v>2533.7084931034478</v>
      </c>
      <c r="I25" s="340">
        <v>2533.7084931034478</v>
      </c>
      <c r="J25" s="340">
        <v>46130.018978503838</v>
      </c>
      <c r="K25" s="340">
        <v>60891.625051625073</v>
      </c>
      <c r="L25" s="340" t="s">
        <v>38</v>
      </c>
      <c r="M25" s="341">
        <v>100</v>
      </c>
      <c r="N25" s="80"/>
      <c r="O25" s="341" t="s">
        <v>69</v>
      </c>
      <c r="P25" s="341">
        <v>0</v>
      </c>
      <c r="Q25" s="342">
        <v>1</v>
      </c>
      <c r="R25" s="343">
        <v>1</v>
      </c>
      <c r="S25" s="344">
        <v>0</v>
      </c>
      <c r="T25" s="258" t="s">
        <v>50</v>
      </c>
      <c r="U25" s="345" t="s">
        <v>51</v>
      </c>
      <c r="V25" s="80" t="s">
        <v>42</v>
      </c>
      <c r="W25" s="261"/>
      <c r="X25" s="261"/>
      <c r="Y25" s="261"/>
      <c r="Z25" s="261"/>
      <c r="AA25" s="261"/>
      <c r="AB25" s="261"/>
    </row>
    <row r="26" spans="1:35" ht="36" x14ac:dyDescent="0.35">
      <c r="B26" s="80" t="s">
        <v>43</v>
      </c>
      <c r="C26" s="256"/>
      <c r="D26" s="340">
        <v>18131.445</v>
      </c>
      <c r="E26" s="341">
        <v>2091.9003529411771</v>
      </c>
      <c r="F26" s="340">
        <v>16131.546049999997</v>
      </c>
      <c r="G26" s="340" t="s">
        <v>37</v>
      </c>
      <c r="H26" s="340">
        <v>2362.9648999999999</v>
      </c>
      <c r="I26" s="340">
        <v>2362.9648999999999</v>
      </c>
      <c r="J26" s="340">
        <v>36354.891402941175</v>
      </c>
      <c r="K26" s="340">
        <v>47988.456651882356</v>
      </c>
      <c r="L26" s="340" t="s">
        <v>38</v>
      </c>
      <c r="M26" s="341">
        <v>289</v>
      </c>
      <c r="N26" s="80"/>
      <c r="O26" s="341" t="s">
        <v>70</v>
      </c>
      <c r="P26" s="341">
        <v>0</v>
      </c>
      <c r="Q26" s="342">
        <v>0.75</v>
      </c>
      <c r="R26" s="343">
        <v>0.75</v>
      </c>
      <c r="S26" s="344">
        <v>0</v>
      </c>
      <c r="T26" s="258" t="s">
        <v>71</v>
      </c>
      <c r="U26" s="345" t="s">
        <v>72</v>
      </c>
      <c r="V26" s="80" t="s">
        <v>42</v>
      </c>
      <c r="W26" s="261"/>
      <c r="X26" s="261"/>
      <c r="Y26" s="261"/>
      <c r="Z26" s="261"/>
      <c r="AA26" s="261"/>
      <c r="AB26" s="261"/>
      <c r="AE26" s="20"/>
      <c r="AF26" s="20"/>
      <c r="AG26" s="20"/>
      <c r="AH26" s="20"/>
      <c r="AI26" s="20"/>
    </row>
    <row r="27" spans="1:35" ht="36" x14ac:dyDescent="0.35">
      <c r="B27" s="80" t="s">
        <v>43</v>
      </c>
      <c r="C27" s="256"/>
      <c r="D27" s="340">
        <v>2600.7121999999999</v>
      </c>
      <c r="E27" s="341">
        <v>6756.0105777777781</v>
      </c>
      <c r="F27" s="340">
        <v>2519.8666499999999</v>
      </c>
      <c r="G27" s="340" t="s">
        <v>37</v>
      </c>
      <c r="H27" s="340">
        <v>353.14336896551725</v>
      </c>
      <c r="I27" s="340">
        <v>353.14336896551725</v>
      </c>
      <c r="J27" s="340">
        <v>11876.589427777777</v>
      </c>
      <c r="K27" s="340">
        <v>15677.098044666667</v>
      </c>
      <c r="L27" s="340" t="s">
        <v>38</v>
      </c>
      <c r="M27" s="341">
        <v>289</v>
      </c>
      <c r="N27" s="80"/>
      <c r="O27" s="341" t="s">
        <v>73</v>
      </c>
      <c r="P27" s="341">
        <v>0</v>
      </c>
      <c r="Q27" s="342">
        <v>8.5000000000000006E-2</v>
      </c>
      <c r="R27" s="343">
        <v>8.5000000000000006E-2</v>
      </c>
      <c r="S27" s="344">
        <v>0</v>
      </c>
      <c r="T27" s="258" t="s">
        <v>74</v>
      </c>
      <c r="U27" s="345" t="s">
        <v>47</v>
      </c>
      <c r="V27" s="80" t="s">
        <v>42</v>
      </c>
      <c r="W27" s="261"/>
      <c r="X27" s="261"/>
      <c r="Y27" s="261"/>
      <c r="Z27" s="261"/>
      <c r="AA27" s="261"/>
      <c r="AB27" s="261"/>
      <c r="AE27" s="20"/>
      <c r="AF27" s="20"/>
      <c r="AG27" s="20"/>
      <c r="AH27" s="20"/>
      <c r="AI27" s="20"/>
    </row>
    <row r="28" spans="1:35" ht="36" x14ac:dyDescent="0.35">
      <c r="B28" s="80" t="s">
        <v>43</v>
      </c>
      <c r="C28" s="256"/>
      <c r="D28" s="340">
        <v>17153.009999999998</v>
      </c>
      <c r="E28" s="341">
        <v>2325.6560294117644</v>
      </c>
      <c r="F28" s="340">
        <v>1694.9187500000007</v>
      </c>
      <c r="G28" s="340" t="s">
        <v>37</v>
      </c>
      <c r="H28" s="340">
        <v>1299.8571551724137</v>
      </c>
      <c r="I28" s="340">
        <v>1299.8571551724137</v>
      </c>
      <c r="J28" s="340">
        <v>21173.584779411765</v>
      </c>
      <c r="K28" s="340">
        <v>27949.131908823532</v>
      </c>
      <c r="L28" s="340" t="s">
        <v>38</v>
      </c>
      <c r="M28" s="341">
        <v>189</v>
      </c>
      <c r="N28" s="80"/>
      <c r="O28" s="341" t="s">
        <v>75</v>
      </c>
      <c r="P28" s="341">
        <v>0</v>
      </c>
      <c r="Q28" s="342">
        <v>1</v>
      </c>
      <c r="R28" s="343">
        <v>1</v>
      </c>
      <c r="S28" s="344">
        <v>0</v>
      </c>
      <c r="T28" s="258" t="s">
        <v>57</v>
      </c>
      <c r="U28" s="345" t="s">
        <v>76</v>
      </c>
      <c r="V28" s="80" t="s">
        <v>42</v>
      </c>
      <c r="W28" s="261"/>
      <c r="X28" s="261"/>
      <c r="Y28" s="261"/>
      <c r="Z28" s="261"/>
      <c r="AA28" s="261"/>
      <c r="AB28" s="261"/>
      <c r="AE28" s="20"/>
      <c r="AF28" s="20"/>
      <c r="AG28" s="20"/>
      <c r="AH28" s="20"/>
      <c r="AI28" s="20"/>
    </row>
    <row r="29" spans="1:35" ht="36" x14ac:dyDescent="0.35">
      <c r="B29" s="80" t="s">
        <v>43</v>
      </c>
      <c r="C29" s="256"/>
      <c r="D29" s="340">
        <v>27429.600000000002</v>
      </c>
      <c r="E29" s="341">
        <v>9391.245828503841</v>
      </c>
      <c r="F29" s="340">
        <v>5868.3673999999992</v>
      </c>
      <c r="G29" s="340" t="s">
        <v>37</v>
      </c>
      <c r="H29" s="340">
        <v>2296.4115448275861</v>
      </c>
      <c r="I29" s="340">
        <v>2296.4115448275861</v>
      </c>
      <c r="J29" s="340">
        <v>42689.213228503839</v>
      </c>
      <c r="K29" s="340">
        <v>56349.761461625072</v>
      </c>
      <c r="L29" s="340" t="s">
        <v>38</v>
      </c>
      <c r="M29" s="341">
        <v>189</v>
      </c>
      <c r="N29" s="80"/>
      <c r="O29" s="341" t="s">
        <v>77</v>
      </c>
      <c r="P29" s="341">
        <v>0</v>
      </c>
      <c r="Q29" s="342">
        <v>1</v>
      </c>
      <c r="R29" s="343">
        <v>1</v>
      </c>
      <c r="S29" s="344">
        <v>0</v>
      </c>
      <c r="T29" s="258" t="s">
        <v>50</v>
      </c>
      <c r="U29" s="345" t="s">
        <v>78</v>
      </c>
      <c r="V29" s="80" t="s">
        <v>42</v>
      </c>
      <c r="W29" s="261"/>
      <c r="X29" s="261"/>
      <c r="Y29" s="261"/>
      <c r="Z29" s="261"/>
      <c r="AA29" s="261"/>
      <c r="AB29" s="261"/>
      <c r="AE29" s="20"/>
      <c r="AF29" s="20"/>
      <c r="AG29" s="20"/>
      <c r="AH29" s="20"/>
      <c r="AI29" s="20"/>
    </row>
    <row r="30" spans="1:35" s="20" customFormat="1" ht="36" x14ac:dyDescent="0.35">
      <c r="A30"/>
      <c r="B30" s="80" t="s">
        <v>43</v>
      </c>
      <c r="C30" s="256"/>
      <c r="D30" s="340">
        <v>27412.720000000001</v>
      </c>
      <c r="E30" s="341">
        <v>9391.245828503841</v>
      </c>
      <c r="F30" s="340">
        <v>6548.6617000000042</v>
      </c>
      <c r="G30" s="340" t="s">
        <v>37</v>
      </c>
      <c r="H30" s="340">
        <v>2342.164255172414</v>
      </c>
      <c r="I30" s="340">
        <v>2342.164255172414</v>
      </c>
      <c r="J30" s="340">
        <v>43352.627528503843</v>
      </c>
      <c r="K30" s="340">
        <v>57225.468337625076</v>
      </c>
      <c r="L30" s="340" t="s">
        <v>38</v>
      </c>
      <c r="M30" s="341">
        <v>189</v>
      </c>
      <c r="N30" s="80"/>
      <c r="O30" s="341" t="s">
        <v>79</v>
      </c>
      <c r="P30" s="341">
        <v>0</v>
      </c>
      <c r="Q30" s="342">
        <v>1</v>
      </c>
      <c r="R30" s="343">
        <v>1</v>
      </c>
      <c r="S30" s="344">
        <v>0</v>
      </c>
      <c r="T30" s="258" t="s">
        <v>50</v>
      </c>
      <c r="U30" s="345" t="s">
        <v>78</v>
      </c>
      <c r="V30" s="80" t="s">
        <v>42</v>
      </c>
      <c r="W30" s="261"/>
      <c r="X30" s="261"/>
      <c r="Y30" s="261"/>
      <c r="Z30" s="261"/>
      <c r="AA30" s="261"/>
      <c r="AB30" s="261"/>
    </row>
    <row r="31" spans="1:35" s="20" customFormat="1" ht="36" x14ac:dyDescent="0.35">
      <c r="A31"/>
      <c r="B31" s="80" t="s">
        <v>43</v>
      </c>
      <c r="C31" s="256"/>
      <c r="D31" s="340">
        <v>19174.900000000001</v>
      </c>
      <c r="E31" s="341">
        <v>3987.3947527749742</v>
      </c>
      <c r="F31" s="340">
        <v>1776.9870999999948</v>
      </c>
      <c r="G31" s="340" t="s">
        <v>37</v>
      </c>
      <c r="H31" s="340">
        <v>1444.9577310344825</v>
      </c>
      <c r="I31" s="340">
        <v>1444.9577310344825</v>
      </c>
      <c r="J31" s="340">
        <v>24939.28185277497</v>
      </c>
      <c r="K31" s="340">
        <v>32919.852045662963</v>
      </c>
      <c r="L31" s="340" t="s">
        <v>38</v>
      </c>
      <c r="M31" s="341">
        <v>189</v>
      </c>
      <c r="N31" s="80"/>
      <c r="O31" s="341" t="s">
        <v>80</v>
      </c>
      <c r="P31" s="341">
        <v>0</v>
      </c>
      <c r="Q31" s="342">
        <v>1</v>
      </c>
      <c r="R31" s="343">
        <v>1</v>
      </c>
      <c r="S31" s="344">
        <v>0</v>
      </c>
      <c r="T31" s="258" t="s">
        <v>40</v>
      </c>
      <c r="U31" s="345" t="s">
        <v>81</v>
      </c>
      <c r="V31" s="80" t="s">
        <v>42</v>
      </c>
      <c r="W31" s="261"/>
      <c r="X31" s="261"/>
      <c r="Y31" s="261"/>
      <c r="Z31" s="261"/>
      <c r="AA31" s="261"/>
      <c r="AB31" s="261"/>
    </row>
    <row r="32" spans="1:35" s="20" customFormat="1" ht="36" x14ac:dyDescent="0.35">
      <c r="A32"/>
      <c r="B32" s="80" t="s">
        <v>43</v>
      </c>
      <c r="C32" s="256"/>
      <c r="D32" s="340">
        <v>27311.530000000002</v>
      </c>
      <c r="E32" s="341">
        <v>9391.245828503841</v>
      </c>
      <c r="F32" s="340">
        <v>6701.3222499999938</v>
      </c>
      <c r="G32" s="340" t="s">
        <v>37</v>
      </c>
      <c r="H32" s="340">
        <v>2345.7139482758616</v>
      </c>
      <c r="I32" s="340">
        <v>2345.7139482758616</v>
      </c>
      <c r="J32" s="340">
        <v>43404.098078503841</v>
      </c>
      <c r="K32" s="340">
        <v>57293.409463625074</v>
      </c>
      <c r="L32" s="340" t="s">
        <v>38</v>
      </c>
      <c r="M32" s="341">
        <v>100</v>
      </c>
      <c r="N32" s="203"/>
      <c r="O32" s="341" t="s">
        <v>82</v>
      </c>
      <c r="P32" s="341">
        <v>0</v>
      </c>
      <c r="Q32" s="342">
        <v>1</v>
      </c>
      <c r="R32" s="343">
        <v>1</v>
      </c>
      <c r="S32" s="344">
        <v>0</v>
      </c>
      <c r="T32" s="258" t="s">
        <v>50</v>
      </c>
      <c r="U32" s="345" t="s">
        <v>78</v>
      </c>
      <c r="V32" s="80" t="s">
        <v>42</v>
      </c>
      <c r="W32" s="261"/>
      <c r="X32" s="261"/>
      <c r="Y32" s="261"/>
      <c r="Z32" s="261"/>
      <c r="AA32" s="261"/>
      <c r="AB32" s="261"/>
    </row>
    <row r="33" spans="1:30" s="20" customFormat="1" ht="36" x14ac:dyDescent="0.35">
      <c r="A33"/>
      <c r="B33" s="80" t="s">
        <v>43</v>
      </c>
      <c r="C33" s="256"/>
      <c r="D33" s="340">
        <v>27085.100000000002</v>
      </c>
      <c r="E33" s="341">
        <v>9391.245828503841</v>
      </c>
      <c r="F33" s="340">
        <v>4816.2694499999998</v>
      </c>
      <c r="G33" s="340" t="s">
        <v>37</v>
      </c>
      <c r="H33" s="340">
        <v>2200.0944448275864</v>
      </c>
      <c r="I33" s="340">
        <v>2200.0944448275864</v>
      </c>
      <c r="J33" s="340">
        <v>41292.615278503843</v>
      </c>
      <c r="K33" s="340">
        <v>54506.252167625076</v>
      </c>
      <c r="L33" s="340" t="s">
        <v>38</v>
      </c>
      <c r="M33" s="341">
        <v>189</v>
      </c>
      <c r="N33" s="203"/>
      <c r="O33" s="341" t="s">
        <v>82</v>
      </c>
      <c r="P33" s="341">
        <v>0</v>
      </c>
      <c r="Q33" s="342">
        <v>1</v>
      </c>
      <c r="R33" s="343">
        <v>1</v>
      </c>
      <c r="S33" s="344">
        <v>0</v>
      </c>
      <c r="T33" s="258" t="s">
        <v>50</v>
      </c>
      <c r="U33" s="345" t="s">
        <v>78</v>
      </c>
      <c r="V33" s="80" t="s">
        <v>42</v>
      </c>
      <c r="W33" s="261"/>
      <c r="X33" s="261"/>
      <c r="Y33" s="261"/>
      <c r="Z33" s="261"/>
      <c r="AA33" s="261"/>
      <c r="AB33" s="261"/>
    </row>
    <row r="34" spans="1:30" s="20" customFormat="1" ht="36" x14ac:dyDescent="0.35">
      <c r="A34"/>
      <c r="B34" s="80" t="s">
        <v>43</v>
      </c>
      <c r="C34" s="256"/>
      <c r="D34" s="340">
        <v>27085.100000000002</v>
      </c>
      <c r="E34" s="341">
        <v>9391.245828503841</v>
      </c>
      <c r="F34" s="340">
        <v>6812.4946499999969</v>
      </c>
      <c r="G34" s="340" t="s">
        <v>37</v>
      </c>
      <c r="H34" s="340">
        <v>2337.765148275862</v>
      </c>
      <c r="I34" s="340">
        <v>2337.765148275862</v>
      </c>
      <c r="J34" s="340">
        <v>43288.840478503844</v>
      </c>
      <c r="K34" s="340">
        <v>57141.269431625078</v>
      </c>
      <c r="L34" s="340" t="s">
        <v>38</v>
      </c>
      <c r="M34" s="341">
        <v>100</v>
      </c>
      <c r="N34" s="261"/>
      <c r="O34" s="341" t="s">
        <v>83</v>
      </c>
      <c r="P34" s="341">
        <v>0</v>
      </c>
      <c r="Q34" s="342">
        <v>1</v>
      </c>
      <c r="R34" s="343">
        <v>1</v>
      </c>
      <c r="S34" s="344">
        <v>0</v>
      </c>
      <c r="T34" s="258" t="s">
        <v>50</v>
      </c>
      <c r="U34" s="345" t="s">
        <v>78</v>
      </c>
      <c r="V34" s="80" t="s">
        <v>42</v>
      </c>
      <c r="W34" s="261"/>
      <c r="X34" s="261"/>
      <c r="Y34" s="261"/>
      <c r="Z34" s="261"/>
      <c r="AA34" s="261"/>
      <c r="AB34" s="261"/>
    </row>
    <row r="35" spans="1:30" s="20" customFormat="1" ht="36" x14ac:dyDescent="0.35">
      <c r="A35"/>
      <c r="B35" s="80" t="s">
        <v>43</v>
      </c>
      <c r="C35" s="256"/>
      <c r="D35" s="340">
        <v>10337.137999999999</v>
      </c>
      <c r="E35" s="341">
        <v>9391.245828503841</v>
      </c>
      <c r="F35" s="340">
        <v>2697.3302999999996</v>
      </c>
      <c r="G35" s="340" t="s">
        <v>37</v>
      </c>
      <c r="H35" s="340">
        <v>898.92884827586192</v>
      </c>
      <c r="I35" s="340">
        <v>898.92884827586192</v>
      </c>
      <c r="J35" s="340">
        <v>22425.714128503838</v>
      </c>
      <c r="K35" s="340">
        <v>29601.942649625067</v>
      </c>
      <c r="L35" s="340" t="s">
        <v>38</v>
      </c>
      <c r="M35" s="341">
        <v>200</v>
      </c>
      <c r="N35" s="261"/>
      <c r="O35" s="341" t="s">
        <v>84</v>
      </c>
      <c r="P35" s="341">
        <v>0</v>
      </c>
      <c r="Q35" s="342">
        <v>0.38</v>
      </c>
      <c r="R35" s="343">
        <v>0.38</v>
      </c>
      <c r="S35" s="344">
        <v>0</v>
      </c>
      <c r="T35" s="258" t="s">
        <v>50</v>
      </c>
      <c r="U35" s="345" t="s">
        <v>78</v>
      </c>
      <c r="V35" s="80" t="s">
        <v>42</v>
      </c>
      <c r="W35" s="261"/>
      <c r="X35" s="261"/>
      <c r="Y35" s="261"/>
      <c r="Z35" s="261"/>
      <c r="AA35" s="261"/>
      <c r="AB35" s="261"/>
    </row>
    <row r="36" spans="1:30" s="20" customFormat="1" ht="36" x14ac:dyDescent="0.35">
      <c r="A36"/>
      <c r="B36" s="80" t="s">
        <v>43</v>
      </c>
      <c r="C36" s="256"/>
      <c r="D36" s="340">
        <v>27177.72</v>
      </c>
      <c r="E36" s="341">
        <v>9391.245828503841</v>
      </c>
      <c r="F36" s="340">
        <v>6657.3709999999992</v>
      </c>
      <c r="G36" s="340" t="s">
        <v>37</v>
      </c>
      <c r="H36" s="340">
        <v>2333.4545517241381</v>
      </c>
      <c r="I36" s="340">
        <v>2333.4545517241381</v>
      </c>
      <c r="J36" s="340">
        <v>43226.336828503845</v>
      </c>
      <c r="K36" s="340">
        <v>57058.764613625077</v>
      </c>
      <c r="L36" s="340" t="s">
        <v>38</v>
      </c>
      <c r="M36" s="341">
        <v>100</v>
      </c>
      <c r="N36" s="261"/>
      <c r="O36" s="341" t="s">
        <v>85</v>
      </c>
      <c r="P36" s="341">
        <v>0</v>
      </c>
      <c r="Q36" s="342">
        <v>1</v>
      </c>
      <c r="R36" s="343">
        <v>1</v>
      </c>
      <c r="S36" s="344">
        <v>0</v>
      </c>
      <c r="T36" s="258" t="s">
        <v>50</v>
      </c>
      <c r="U36" s="345" t="s">
        <v>78</v>
      </c>
      <c r="V36" s="80" t="s">
        <v>42</v>
      </c>
      <c r="W36" s="261"/>
      <c r="X36" s="261"/>
      <c r="Y36" s="261"/>
      <c r="Z36" s="261"/>
      <c r="AA36" s="261"/>
      <c r="AB36" s="261"/>
    </row>
    <row r="37" spans="1:30" s="20" customFormat="1" ht="36" x14ac:dyDescent="0.35">
      <c r="A37"/>
      <c r="B37" s="80" t="s">
        <v>36</v>
      </c>
      <c r="C37" s="256"/>
      <c r="D37" s="340">
        <v>18939.939999999999</v>
      </c>
      <c r="E37" s="341">
        <v>3987.3947527749742</v>
      </c>
      <c r="F37" s="340">
        <v>1612.2715000000026</v>
      </c>
      <c r="G37" s="340" t="s">
        <v>37</v>
      </c>
      <c r="H37" s="340">
        <v>1417.3938965517243</v>
      </c>
      <c r="I37" s="340">
        <v>1417.3938965517243</v>
      </c>
      <c r="J37" s="340">
        <v>24539.606252774975</v>
      </c>
      <c r="K37" s="340">
        <v>32392.280253662968</v>
      </c>
      <c r="L37" s="340" t="s">
        <v>38</v>
      </c>
      <c r="M37" s="341">
        <v>189</v>
      </c>
      <c r="N37" s="261"/>
      <c r="O37" s="341" t="s">
        <v>86</v>
      </c>
      <c r="P37" s="341">
        <v>0</v>
      </c>
      <c r="Q37" s="342">
        <v>1</v>
      </c>
      <c r="R37" s="343">
        <v>1</v>
      </c>
      <c r="S37" s="344">
        <v>0</v>
      </c>
      <c r="T37" s="258" t="s">
        <v>40</v>
      </c>
      <c r="U37" s="345" t="s">
        <v>81</v>
      </c>
      <c r="V37" s="80" t="s">
        <v>42</v>
      </c>
      <c r="W37" s="261"/>
      <c r="X37" s="261"/>
      <c r="Y37" s="261"/>
      <c r="Z37" s="261"/>
      <c r="AA37" s="261"/>
      <c r="AB37" s="261"/>
    </row>
    <row r="38" spans="1:30" s="20" customFormat="1" ht="36" x14ac:dyDescent="0.35">
      <c r="A38"/>
      <c r="B38" s="80" t="s">
        <v>36</v>
      </c>
      <c r="C38" s="256"/>
      <c r="D38" s="340">
        <v>27101.940000000002</v>
      </c>
      <c r="E38" s="341">
        <v>9391.245828503841</v>
      </c>
      <c r="F38" s="340">
        <v>4584.8221999999951</v>
      </c>
      <c r="G38" s="340" t="s">
        <v>37</v>
      </c>
      <c r="H38" s="340">
        <v>2185.2939448275861</v>
      </c>
      <c r="I38" s="340">
        <v>2185.2939448275861</v>
      </c>
      <c r="J38" s="340">
        <v>41078.008028503842</v>
      </c>
      <c r="K38" s="340">
        <v>54222.970597625077</v>
      </c>
      <c r="L38" s="340" t="s">
        <v>38</v>
      </c>
      <c r="M38" s="341">
        <v>100</v>
      </c>
      <c r="N38" s="261"/>
      <c r="O38" s="341" t="s">
        <v>87</v>
      </c>
      <c r="P38" s="341">
        <v>0</v>
      </c>
      <c r="Q38" s="342">
        <v>1</v>
      </c>
      <c r="R38" s="343">
        <v>1</v>
      </c>
      <c r="S38" s="344">
        <v>0</v>
      </c>
      <c r="T38" s="258" t="s">
        <v>50</v>
      </c>
      <c r="U38" s="345" t="s">
        <v>78</v>
      </c>
      <c r="V38" s="80" t="s">
        <v>42</v>
      </c>
      <c r="W38" s="261"/>
      <c r="X38" s="261"/>
      <c r="Y38" s="261"/>
      <c r="Z38" s="261"/>
      <c r="AA38" s="261"/>
      <c r="AB38" s="261"/>
    </row>
    <row r="39" spans="1:30" s="20" customFormat="1" ht="36" x14ac:dyDescent="0.35">
      <c r="A39"/>
      <c r="B39" s="80" t="s">
        <v>43</v>
      </c>
      <c r="C39" s="256"/>
      <c r="D39" s="340">
        <v>24659.18</v>
      </c>
      <c r="E39" s="341">
        <v>6756.0105777777781</v>
      </c>
      <c r="F39" s="340">
        <v>19997.043000000005</v>
      </c>
      <c r="G39" s="340" t="s">
        <v>37</v>
      </c>
      <c r="H39" s="340">
        <v>3079.7395172413799</v>
      </c>
      <c r="I39" s="340">
        <v>3079.7395172413799</v>
      </c>
      <c r="J39" s="340">
        <v>51412.233577777784</v>
      </c>
      <c r="K39" s="340">
        <v>67864.148322666675</v>
      </c>
      <c r="L39" s="340" t="s">
        <v>38</v>
      </c>
      <c r="M39" s="341">
        <v>200</v>
      </c>
      <c r="N39" s="261"/>
      <c r="O39" s="341" t="s">
        <v>88</v>
      </c>
      <c r="P39" s="341">
        <v>0</v>
      </c>
      <c r="Q39" s="342">
        <v>0.85</v>
      </c>
      <c r="R39" s="343">
        <v>0.85</v>
      </c>
      <c r="S39" s="344">
        <v>0</v>
      </c>
      <c r="T39" s="258" t="s">
        <v>74</v>
      </c>
      <c r="U39" s="345" t="s">
        <v>89</v>
      </c>
      <c r="V39" s="80" t="s">
        <v>42</v>
      </c>
      <c r="W39" s="261"/>
      <c r="X39" s="261"/>
      <c r="Y39" s="261"/>
      <c r="Z39" s="261"/>
      <c r="AA39" s="261"/>
      <c r="AB39" s="261"/>
    </row>
    <row r="40" spans="1:30" s="20" customFormat="1" ht="36" x14ac:dyDescent="0.35">
      <c r="A40" s="58"/>
      <c r="B40" s="80" t="s">
        <v>43</v>
      </c>
      <c r="C40" s="256"/>
      <c r="D40" s="340">
        <v>29366.54</v>
      </c>
      <c r="E40" s="341">
        <v>6756.0105777777781</v>
      </c>
      <c r="F40" s="340">
        <v>2301.739999999998</v>
      </c>
      <c r="G40" s="340" t="s">
        <v>37</v>
      </c>
      <c r="H40" s="340">
        <v>2119.16</v>
      </c>
      <c r="I40" s="340">
        <v>2119.16</v>
      </c>
      <c r="J40" s="340">
        <v>38424.290577777778</v>
      </c>
      <c r="K40" s="340">
        <v>50720.06356266667</v>
      </c>
      <c r="L40" s="340" t="s">
        <v>38</v>
      </c>
      <c r="M40" s="341">
        <v>100</v>
      </c>
      <c r="N40" s="80"/>
      <c r="O40" s="341" t="s">
        <v>346</v>
      </c>
      <c r="P40" s="164"/>
      <c r="Q40" s="343">
        <v>1</v>
      </c>
      <c r="R40" s="343">
        <v>1</v>
      </c>
      <c r="S40" s="164"/>
      <c r="T40" s="258" t="s">
        <v>50</v>
      </c>
      <c r="U40" s="345" t="s">
        <v>51</v>
      </c>
      <c r="V40" s="396"/>
      <c r="W40" s="80"/>
      <c r="X40" s="80"/>
      <c r="Y40" s="80"/>
      <c r="Z40" s="80"/>
      <c r="AA40" s="80"/>
      <c r="AB40" s="80"/>
    </row>
    <row r="41" spans="1:30" s="20" customFormat="1" ht="36" x14ac:dyDescent="0.35">
      <c r="A41" s="58"/>
      <c r="B41" s="11" t="s">
        <v>43</v>
      </c>
      <c r="C41" s="31"/>
      <c r="D41" s="316">
        <v>10450.584999999999</v>
      </c>
      <c r="E41" s="393">
        <v>558</v>
      </c>
      <c r="F41" s="316">
        <v>256</v>
      </c>
      <c r="G41" s="340" t="s">
        <v>37</v>
      </c>
      <c r="H41" s="316">
        <v>700.79</v>
      </c>
      <c r="I41" s="316">
        <v>700.79</v>
      </c>
      <c r="J41" s="316">
        <v>11264.584999999999</v>
      </c>
      <c r="K41" s="316">
        <v>14869.252199999999</v>
      </c>
      <c r="L41" s="340" t="s">
        <v>38</v>
      </c>
      <c r="M41" s="393">
        <v>502</v>
      </c>
      <c r="N41" s="11"/>
      <c r="O41" s="393" t="s">
        <v>347</v>
      </c>
      <c r="P41" s="357" t="s">
        <v>348</v>
      </c>
      <c r="Q41" s="394">
        <v>0.5</v>
      </c>
      <c r="R41" s="394">
        <v>0.5</v>
      </c>
      <c r="S41" s="357"/>
      <c r="T41" s="13" t="s">
        <v>65</v>
      </c>
      <c r="U41" s="395" t="s">
        <v>41</v>
      </c>
      <c r="V41" s="396"/>
      <c r="W41" s="80"/>
      <c r="X41" s="80"/>
      <c r="Y41" s="80"/>
      <c r="Z41" s="80"/>
      <c r="AA41" s="80"/>
      <c r="AB41" s="80"/>
    </row>
    <row r="42" spans="1:30" s="20" customFormat="1" ht="12" x14ac:dyDescent="0.3">
      <c r="W42" s="34"/>
    </row>
    <row r="43" spans="1:30" s="20" customFormat="1" ht="19" thickBot="1" x14ac:dyDescent="0.5">
      <c r="B43" s="18" t="s">
        <v>17</v>
      </c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</row>
    <row r="44" spans="1:30" s="20" customFormat="1" ht="32" thickBot="1" x14ac:dyDescent="0.35">
      <c r="B44" s="2" t="s">
        <v>344</v>
      </c>
      <c r="C44" s="2" t="s">
        <v>2</v>
      </c>
      <c r="D44" s="2" t="s">
        <v>21</v>
      </c>
      <c r="E44" s="2" t="s">
        <v>1</v>
      </c>
      <c r="F44" s="2" t="s">
        <v>22</v>
      </c>
      <c r="G44" s="2" t="s">
        <v>14</v>
      </c>
      <c r="H44" s="2" t="s">
        <v>18</v>
      </c>
      <c r="I44" s="2" t="s">
        <v>15</v>
      </c>
      <c r="J44" s="2" t="s">
        <v>10</v>
      </c>
      <c r="K44" s="2" t="s">
        <v>23</v>
      </c>
      <c r="L44" s="2" t="s">
        <v>16</v>
      </c>
      <c r="M44" s="2" t="s">
        <v>3</v>
      </c>
      <c r="N44" s="2" t="s">
        <v>11</v>
      </c>
      <c r="O44" s="2" t="s">
        <v>4</v>
      </c>
      <c r="P44" s="2" t="s">
        <v>5</v>
      </c>
      <c r="Q44" s="2" t="s">
        <v>24</v>
      </c>
      <c r="R44" s="2" t="s">
        <v>25</v>
      </c>
      <c r="S44" s="2" t="s">
        <v>26</v>
      </c>
      <c r="T44" s="2" t="s">
        <v>27</v>
      </c>
      <c r="U44" s="2" t="s">
        <v>6</v>
      </c>
      <c r="V44" s="2" t="s">
        <v>7</v>
      </c>
      <c r="W44" s="2" t="s">
        <v>28</v>
      </c>
      <c r="X44" s="2" t="s">
        <v>29</v>
      </c>
      <c r="Y44" s="2" t="s">
        <v>30</v>
      </c>
      <c r="Z44" s="2" t="s">
        <v>31</v>
      </c>
      <c r="AA44" s="3" t="s">
        <v>8</v>
      </c>
      <c r="AB44" s="3" t="s">
        <v>9</v>
      </c>
    </row>
    <row r="45" spans="1:30" s="20" customFormat="1" x14ac:dyDescent="0.3">
      <c r="B45" s="4"/>
      <c r="C45" s="35"/>
      <c r="D45" s="5"/>
      <c r="E45" s="5"/>
      <c r="F45" s="5"/>
      <c r="G45" s="5"/>
      <c r="H45" s="5"/>
      <c r="I45" s="5"/>
      <c r="J45" s="5"/>
      <c r="K45" s="5"/>
      <c r="L45" s="4"/>
      <c r="M45" s="4"/>
      <c r="N45" s="4"/>
      <c r="O45" s="6"/>
      <c r="P45" s="7"/>
      <c r="Q45" s="8"/>
      <c r="R45" s="8"/>
      <c r="S45" s="8"/>
      <c r="T45" s="9"/>
      <c r="U45" s="9"/>
      <c r="V45" s="10"/>
      <c r="W45" s="36"/>
      <c r="X45" s="36" t="s">
        <v>0</v>
      </c>
      <c r="Y45" s="36"/>
      <c r="Z45" s="36"/>
      <c r="AA45" s="36"/>
      <c r="AB45" s="36"/>
    </row>
    <row r="46" spans="1:30" s="20" customFormat="1" x14ac:dyDescent="0.3">
      <c r="B46" s="4"/>
      <c r="C46" s="31"/>
      <c r="D46" s="5"/>
      <c r="E46" s="5"/>
      <c r="F46" s="5"/>
      <c r="G46" s="5"/>
      <c r="H46" s="5"/>
      <c r="I46" s="5"/>
      <c r="J46" s="5"/>
      <c r="K46" s="5"/>
      <c r="L46" s="4"/>
      <c r="M46" s="4"/>
      <c r="N46" s="4"/>
      <c r="O46" s="6"/>
      <c r="P46" s="7"/>
      <c r="Q46" s="8"/>
      <c r="R46" s="8"/>
      <c r="S46" s="8"/>
      <c r="T46" s="9"/>
      <c r="U46" s="9"/>
      <c r="V46" s="10"/>
      <c r="W46" s="36"/>
      <c r="X46" s="36"/>
      <c r="Y46" s="36"/>
      <c r="Z46" s="36"/>
      <c r="AA46" s="36"/>
      <c r="AB46" s="36"/>
    </row>
    <row r="47" spans="1:30" s="20" customFormat="1" x14ac:dyDescent="0.3">
      <c r="B47" s="4"/>
      <c r="C47" s="31"/>
      <c r="D47" s="5"/>
      <c r="E47" s="5"/>
      <c r="F47" s="5"/>
      <c r="G47" s="5"/>
      <c r="H47" s="5"/>
      <c r="I47" s="5"/>
      <c r="J47" s="5"/>
      <c r="K47" s="5"/>
      <c r="L47" s="4"/>
      <c r="M47" s="4"/>
      <c r="N47" s="4"/>
      <c r="O47" s="6"/>
      <c r="P47" s="7"/>
      <c r="Q47" s="8"/>
      <c r="R47" s="8"/>
      <c r="S47" s="8"/>
      <c r="T47" s="9"/>
      <c r="U47" s="9"/>
      <c r="V47" s="10"/>
      <c r="W47" s="36"/>
      <c r="X47" s="36"/>
      <c r="Y47" s="36"/>
      <c r="Z47" s="36"/>
      <c r="AA47" s="36"/>
      <c r="AB47" s="36"/>
    </row>
    <row r="48" spans="1:30" s="20" customFormat="1" x14ac:dyDescent="0.3">
      <c r="B48" s="11"/>
      <c r="C48" s="31"/>
      <c r="D48" s="12"/>
      <c r="E48" s="12"/>
      <c r="F48" s="12"/>
      <c r="G48" s="12"/>
      <c r="H48" s="12"/>
      <c r="I48" s="12"/>
      <c r="J48" s="12"/>
      <c r="K48" s="12"/>
      <c r="L48" s="11"/>
      <c r="M48" s="11"/>
      <c r="N48" s="11"/>
      <c r="O48" s="37"/>
      <c r="P48" s="13"/>
      <c r="Q48" s="14"/>
      <c r="R48" s="14"/>
      <c r="S48" s="14"/>
      <c r="T48" s="38"/>
      <c r="U48" s="38"/>
      <c r="V48" s="15"/>
      <c r="W48" s="39"/>
      <c r="X48" s="39"/>
      <c r="Y48" s="39"/>
      <c r="Z48" s="39"/>
      <c r="AA48" s="39"/>
      <c r="AB48" s="39"/>
    </row>
    <row r="49" spans="2:37" s="20" customFormat="1" x14ac:dyDescent="0.3">
      <c r="B49" s="11"/>
      <c r="C49" s="31"/>
      <c r="D49" s="12"/>
      <c r="E49" s="12"/>
      <c r="F49" s="12"/>
      <c r="G49" s="12"/>
      <c r="H49" s="12"/>
      <c r="I49" s="12"/>
      <c r="J49" s="12"/>
      <c r="K49" s="12"/>
      <c r="L49" s="11"/>
      <c r="M49" s="11"/>
      <c r="N49" s="11"/>
      <c r="O49" s="37"/>
      <c r="P49" s="13"/>
      <c r="Q49" s="14"/>
      <c r="R49" s="14"/>
      <c r="S49" s="14"/>
      <c r="T49" s="38"/>
      <c r="U49" s="38"/>
      <c r="V49" s="16"/>
      <c r="W49" s="39"/>
      <c r="X49" s="39"/>
      <c r="Y49" s="39"/>
      <c r="Z49" s="39"/>
      <c r="AA49" s="39"/>
      <c r="AB49" s="39"/>
    </row>
    <row r="50" spans="2:37" s="20" customFormat="1" x14ac:dyDescent="0.3">
      <c r="B50" s="11"/>
      <c r="C50" s="31"/>
      <c r="D50" s="12"/>
      <c r="E50" s="12"/>
      <c r="F50" s="12"/>
      <c r="G50" s="12"/>
      <c r="H50" s="12"/>
      <c r="I50" s="12"/>
      <c r="J50" s="12"/>
      <c r="K50" s="12"/>
      <c r="L50" s="11"/>
      <c r="M50" s="11"/>
      <c r="N50" s="11"/>
      <c r="O50" s="37"/>
      <c r="P50" s="13"/>
      <c r="Q50" s="14"/>
      <c r="R50" s="14"/>
      <c r="S50" s="14"/>
      <c r="T50" s="38"/>
      <c r="U50" s="38"/>
      <c r="V50" s="16"/>
      <c r="W50" s="39"/>
      <c r="X50" s="39"/>
      <c r="Y50" s="39"/>
      <c r="Z50" s="39"/>
      <c r="AA50" s="39"/>
      <c r="AB50" s="39"/>
    </row>
    <row r="51" spans="2:37" s="20" customFormat="1" ht="12" x14ac:dyDescent="0.3">
      <c r="W51" s="34"/>
    </row>
    <row r="52" spans="2:37" s="20" customFormat="1" ht="12" x14ac:dyDescent="0.3">
      <c r="W52" s="34"/>
    </row>
    <row r="53" spans="2:37" s="20" customFormat="1" ht="12" x14ac:dyDescent="0.3">
      <c r="W53" s="34"/>
    </row>
    <row r="54" spans="2:37" s="20" customFormat="1" ht="12" x14ac:dyDescent="0.3">
      <c r="W54" s="34"/>
    </row>
    <row r="55" spans="2:37" s="20" customFormat="1" ht="12" x14ac:dyDescent="0.3">
      <c r="W55" s="34"/>
    </row>
    <row r="56" spans="2:37" s="20" customFormat="1" ht="12" x14ac:dyDescent="0.3">
      <c r="W56" s="34"/>
    </row>
    <row r="57" spans="2:37" s="20" customFormat="1" ht="12" x14ac:dyDescent="0.3">
      <c r="W57" s="34"/>
    </row>
    <row r="58" spans="2:37" s="20" customFormat="1" ht="12" x14ac:dyDescent="0.3">
      <c r="W58" s="34"/>
    </row>
    <row r="59" spans="2:37" s="20" customFormat="1" ht="12" x14ac:dyDescent="0.3">
      <c r="W59" s="34"/>
    </row>
    <row r="60" spans="2:37" s="20" customFormat="1" ht="12" x14ac:dyDescent="0.3">
      <c r="W60" s="34"/>
    </row>
    <row r="61" spans="2:37" s="20" customFormat="1" x14ac:dyDescent="0.35">
      <c r="W61" s="34"/>
      <c r="AG61"/>
      <c r="AH61"/>
      <c r="AI61"/>
      <c r="AJ61"/>
      <c r="AK61"/>
    </row>
    <row r="62" spans="2:37" s="20" customFormat="1" x14ac:dyDescent="0.35">
      <c r="W62" s="34"/>
      <c r="AG62"/>
      <c r="AH62"/>
      <c r="AI62"/>
      <c r="AJ62"/>
      <c r="AK62"/>
    </row>
    <row r="63" spans="2:37" s="20" customFormat="1" x14ac:dyDescent="0.35">
      <c r="W63" s="34"/>
      <c r="AG63"/>
      <c r="AH63"/>
      <c r="AI63"/>
      <c r="AJ63"/>
      <c r="AK63"/>
    </row>
    <row r="64" spans="2:37" s="20" customFormat="1" x14ac:dyDescent="0.35">
      <c r="W64" s="34"/>
      <c r="AG64"/>
      <c r="AH64"/>
      <c r="AI64"/>
      <c r="AJ64"/>
      <c r="AK64"/>
    </row>
  </sheetData>
  <autoFilter ref="B9:AD40"/>
  <mergeCells count="3">
    <mergeCell ref="C4:E4"/>
    <mergeCell ref="C5:D5"/>
    <mergeCell ref="C6:D6"/>
  </mergeCells>
  <pageMargins left="0.7" right="0.7" top="0.75" bottom="0.75" header="0.3" footer="0.3"/>
  <pageSetup paperSize="9" scale="2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K50"/>
  <sheetViews>
    <sheetView zoomScaleNormal="100" workbookViewId="0">
      <selection activeCell="B2" sqref="B2:AB35"/>
    </sheetView>
  </sheetViews>
  <sheetFormatPr defaultColWidth="11.453125" defaultRowHeight="14.5" x14ac:dyDescent="0.35"/>
  <cols>
    <col min="1" max="1" width="6.81640625" customWidth="1"/>
    <col min="2" max="2" width="19.1796875" style="20" customWidth="1"/>
    <col min="3" max="3" width="13.54296875" customWidth="1"/>
    <col min="4" max="4" width="13.54296875" style="20" customWidth="1"/>
    <col min="5" max="15" width="25.54296875" customWidth="1"/>
    <col min="16" max="16" width="18.81640625" customWidth="1"/>
    <col min="17" max="17" width="19.54296875" customWidth="1"/>
    <col min="18" max="18" width="15.453125" customWidth="1"/>
    <col min="19" max="22" width="25.54296875" customWidth="1"/>
    <col min="23" max="23" width="22.1796875" style="21" customWidth="1"/>
    <col min="24" max="24" width="29.453125" customWidth="1"/>
    <col min="25" max="30" width="25.54296875" customWidth="1"/>
  </cols>
  <sheetData>
    <row r="2" spans="2:28" ht="18.5" x14ac:dyDescent="0.45">
      <c r="B2" s="18" t="s">
        <v>13</v>
      </c>
      <c r="C2" s="1"/>
    </row>
    <row r="3" spans="2:28" x14ac:dyDescent="0.35">
      <c r="B3" s="22"/>
      <c r="C3" s="23"/>
      <c r="F3" s="23"/>
      <c r="Q3" s="23"/>
      <c r="R3" s="23"/>
      <c r="S3" s="23"/>
    </row>
    <row r="4" spans="2:28" ht="15.5" x14ac:dyDescent="0.35">
      <c r="B4" s="24" t="s">
        <v>12</v>
      </c>
      <c r="C4" s="423" t="s">
        <v>33</v>
      </c>
      <c r="D4" s="424"/>
      <c r="E4" s="428"/>
      <c r="Q4" s="23"/>
      <c r="R4" s="23"/>
      <c r="S4" s="23"/>
    </row>
    <row r="5" spans="2:28" ht="15.5" x14ac:dyDescent="0.35">
      <c r="B5" s="24" t="s">
        <v>20</v>
      </c>
      <c r="C5" s="423" t="s">
        <v>34</v>
      </c>
      <c r="D5" s="424" t="s">
        <v>34</v>
      </c>
      <c r="E5" s="49"/>
      <c r="Q5" s="23"/>
      <c r="R5" s="23"/>
      <c r="S5" s="23"/>
    </row>
    <row r="6" spans="2:28" ht="15.5" x14ac:dyDescent="0.35">
      <c r="B6" s="25" t="s">
        <v>19</v>
      </c>
      <c r="C6" s="423" t="s">
        <v>91</v>
      </c>
      <c r="D6" s="424"/>
      <c r="E6" s="49"/>
      <c r="Q6" s="23"/>
      <c r="R6" s="23"/>
      <c r="S6" s="23"/>
    </row>
    <row r="7" spans="2:28" ht="15.5" x14ac:dyDescent="0.35">
      <c r="B7" s="24" t="s">
        <v>32</v>
      </c>
      <c r="C7" s="47">
        <v>45629</v>
      </c>
      <c r="D7" s="48"/>
      <c r="E7" s="50"/>
    </row>
    <row r="8" spans="2:28" ht="15" thickBot="1" x14ac:dyDescent="0.4">
      <c r="B8" s="29"/>
      <c r="G8" s="27"/>
      <c r="N8" s="26"/>
      <c r="O8" s="30"/>
      <c r="P8" s="26"/>
      <c r="Q8" s="28"/>
    </row>
    <row r="9" spans="2:28" ht="33.75" customHeight="1" thickBot="1" x14ac:dyDescent="0.4">
      <c r="B9" s="2" t="s">
        <v>344</v>
      </c>
      <c r="C9" s="2" t="s">
        <v>2</v>
      </c>
      <c r="D9" s="19" t="s">
        <v>21</v>
      </c>
      <c r="E9" s="2" t="s">
        <v>1</v>
      </c>
      <c r="F9" s="2" t="s">
        <v>22</v>
      </c>
      <c r="G9" s="2" t="s">
        <v>14</v>
      </c>
      <c r="H9" s="2" t="s">
        <v>18</v>
      </c>
      <c r="I9" s="2" t="s">
        <v>15</v>
      </c>
      <c r="J9" s="2" t="s">
        <v>10</v>
      </c>
      <c r="K9" s="2" t="s">
        <v>23</v>
      </c>
      <c r="L9" s="2" t="s">
        <v>16</v>
      </c>
      <c r="M9" s="2" t="s">
        <v>3</v>
      </c>
      <c r="N9" s="2" t="s">
        <v>11</v>
      </c>
      <c r="O9" s="2" t="s">
        <v>4</v>
      </c>
      <c r="P9" s="2" t="s">
        <v>5</v>
      </c>
      <c r="Q9" s="2" t="s">
        <v>24</v>
      </c>
      <c r="R9" s="2" t="s">
        <v>25</v>
      </c>
      <c r="S9" s="2" t="s">
        <v>26</v>
      </c>
      <c r="T9" s="2" t="s">
        <v>27</v>
      </c>
      <c r="U9" s="2" t="s">
        <v>6</v>
      </c>
      <c r="V9" s="2" t="s">
        <v>7</v>
      </c>
      <c r="W9" s="2" t="s">
        <v>28</v>
      </c>
      <c r="X9" s="2" t="s">
        <v>29</v>
      </c>
      <c r="Y9" s="2" t="s">
        <v>30</v>
      </c>
      <c r="Z9" s="2" t="s">
        <v>31</v>
      </c>
      <c r="AA9" s="3" t="s">
        <v>8</v>
      </c>
      <c r="AB9" s="3" t="s">
        <v>9</v>
      </c>
    </row>
    <row r="10" spans="2:28" x14ac:dyDescent="0.35">
      <c r="B10" s="11" t="s">
        <v>43</v>
      </c>
      <c r="C10" s="31"/>
      <c r="D10" s="12">
        <v>30291.379999999997</v>
      </c>
      <c r="E10" s="51">
        <v>9391.245828503841</v>
      </c>
      <c r="F10" s="12">
        <v>12291.179100000001</v>
      </c>
      <c r="G10" s="12" t="s">
        <v>37</v>
      </c>
      <c r="H10" s="12">
        <v>2936.7282137931034</v>
      </c>
      <c r="I10" s="12">
        <v>2936.7282137931034</v>
      </c>
      <c r="J10" s="12">
        <v>51973.804928503843</v>
      </c>
      <c r="K10" s="12">
        <v>68605.422505625073</v>
      </c>
      <c r="L10" s="12" t="s">
        <v>38</v>
      </c>
      <c r="M10" s="51">
        <v>100</v>
      </c>
      <c r="N10" s="42"/>
      <c r="O10" s="51" t="s">
        <v>92</v>
      </c>
      <c r="P10" s="51">
        <v>0</v>
      </c>
      <c r="Q10" s="52">
        <v>1</v>
      </c>
      <c r="R10" s="53">
        <v>1</v>
      </c>
      <c r="S10" s="54">
        <v>0</v>
      </c>
      <c r="T10" s="38" t="s">
        <v>50</v>
      </c>
      <c r="U10" s="55" t="s">
        <v>51</v>
      </c>
      <c r="V10" s="42"/>
      <c r="W10" s="42"/>
      <c r="X10" s="42"/>
      <c r="Y10" s="42"/>
      <c r="Z10" s="42"/>
      <c r="AA10" s="42"/>
      <c r="AB10" s="42"/>
    </row>
    <row r="11" spans="2:28" x14ac:dyDescent="0.35">
      <c r="B11" s="11" t="s">
        <v>36</v>
      </c>
      <c r="C11" s="31"/>
      <c r="D11" s="12">
        <v>20527.78</v>
      </c>
      <c r="E11" s="51">
        <v>3987.3947527749742</v>
      </c>
      <c r="F11" s="12">
        <v>1992.4219000000012</v>
      </c>
      <c r="G11" s="12" t="s">
        <v>37</v>
      </c>
      <c r="H11" s="12">
        <v>1553.1173724137932</v>
      </c>
      <c r="I11" s="12">
        <v>1553.1173724137932</v>
      </c>
      <c r="J11" s="12">
        <v>26507.596652774973</v>
      </c>
      <c r="K11" s="12">
        <v>34990.027581662966</v>
      </c>
      <c r="L11" s="12" t="s">
        <v>38</v>
      </c>
      <c r="M11" s="51">
        <v>189</v>
      </c>
      <c r="N11" s="42"/>
      <c r="O11" s="51" t="s">
        <v>93</v>
      </c>
      <c r="P11" s="51">
        <v>0</v>
      </c>
      <c r="Q11" s="52">
        <v>1</v>
      </c>
      <c r="R11" s="53">
        <v>1</v>
      </c>
      <c r="S11" s="54">
        <v>0</v>
      </c>
      <c r="T11" s="38" t="s">
        <v>40</v>
      </c>
      <c r="U11" s="55" t="s">
        <v>41</v>
      </c>
      <c r="V11" s="42"/>
      <c r="W11" s="42"/>
      <c r="X11" s="42"/>
      <c r="Y11" s="42"/>
      <c r="Z11" s="42"/>
      <c r="AA11" s="42"/>
      <c r="AB11" s="42"/>
    </row>
    <row r="12" spans="2:28" x14ac:dyDescent="0.35">
      <c r="B12" s="11" t="s">
        <v>43</v>
      </c>
      <c r="C12" s="31"/>
      <c r="D12" s="12">
        <v>25420.780000000002</v>
      </c>
      <c r="E12" s="51">
        <v>2091.9003529411771</v>
      </c>
      <c r="F12" s="12">
        <v>8408.4321999999993</v>
      </c>
      <c r="G12" s="12" t="s">
        <v>37</v>
      </c>
      <c r="H12" s="12">
        <v>2333.0491172413795</v>
      </c>
      <c r="I12" s="12">
        <v>2333.0491172413795</v>
      </c>
      <c r="J12" s="12">
        <v>35921.11255294118</v>
      </c>
      <c r="K12" s="12">
        <v>47415.868569882361</v>
      </c>
      <c r="L12" s="12" t="s">
        <v>38</v>
      </c>
      <c r="M12" s="51">
        <v>189</v>
      </c>
      <c r="N12" s="42"/>
      <c r="O12" s="51" t="s">
        <v>94</v>
      </c>
      <c r="P12" s="51">
        <v>0</v>
      </c>
      <c r="Q12" s="52">
        <v>1</v>
      </c>
      <c r="R12" s="53">
        <v>1</v>
      </c>
      <c r="S12" s="54">
        <v>0</v>
      </c>
      <c r="T12" s="38" t="s">
        <v>71</v>
      </c>
      <c r="U12" s="55" t="s">
        <v>54</v>
      </c>
      <c r="V12" s="42"/>
      <c r="W12" s="42"/>
      <c r="X12" s="42"/>
      <c r="Y12" s="42"/>
      <c r="Z12" s="42"/>
      <c r="AA12" s="42"/>
      <c r="AB12" s="42"/>
    </row>
    <row r="13" spans="2:28" x14ac:dyDescent="0.35">
      <c r="B13" s="11" t="s">
        <v>43</v>
      </c>
      <c r="C13" s="31"/>
      <c r="D13" s="12">
        <v>30291.379999999997</v>
      </c>
      <c r="E13" s="51">
        <v>2961.4411162790702</v>
      </c>
      <c r="F13" s="12">
        <v>16690.612200000003</v>
      </c>
      <c r="G13" s="12" t="s">
        <v>37</v>
      </c>
      <c r="H13" s="12">
        <v>3240.1373931034482</v>
      </c>
      <c r="I13" s="12">
        <v>3240.1373931034482</v>
      </c>
      <c r="J13" s="12">
        <v>49943.433316279072</v>
      </c>
      <c r="K13" s="12">
        <v>65925.331977488371</v>
      </c>
      <c r="L13" s="12" t="s">
        <v>38</v>
      </c>
      <c r="M13" s="51">
        <v>100</v>
      </c>
      <c r="N13" s="42"/>
      <c r="O13" s="51" t="s">
        <v>95</v>
      </c>
      <c r="P13" s="51">
        <v>0</v>
      </c>
      <c r="Q13" s="52">
        <v>1</v>
      </c>
      <c r="R13" s="53">
        <v>1</v>
      </c>
      <c r="S13" s="54">
        <v>0</v>
      </c>
      <c r="T13" s="38" t="s">
        <v>68</v>
      </c>
      <c r="U13" s="55" t="s">
        <v>51</v>
      </c>
      <c r="V13" s="42"/>
      <c r="W13" s="42"/>
      <c r="X13" s="42"/>
      <c r="Y13" s="42"/>
      <c r="Z13" s="42"/>
      <c r="AA13" s="42"/>
      <c r="AB13" s="42"/>
    </row>
    <row r="14" spans="2:28" x14ac:dyDescent="0.35">
      <c r="B14" s="11" t="s">
        <v>43</v>
      </c>
      <c r="C14" s="31"/>
      <c r="D14" s="12">
        <v>20103.979999999996</v>
      </c>
      <c r="E14" s="51">
        <v>3987.3947527749742</v>
      </c>
      <c r="F14" s="12">
        <v>1976.5332000000053</v>
      </c>
      <c r="G14" s="12" t="s">
        <v>37</v>
      </c>
      <c r="H14" s="12">
        <v>1522.7940137931034</v>
      </c>
      <c r="I14" s="12">
        <v>1522.7940137931034</v>
      </c>
      <c r="J14" s="12">
        <v>26067.907952774975</v>
      </c>
      <c r="K14" s="12">
        <v>34409.638497662971</v>
      </c>
      <c r="L14" s="12" t="s">
        <v>38</v>
      </c>
      <c r="M14" s="51">
        <v>189</v>
      </c>
      <c r="N14" s="42"/>
      <c r="O14" s="51" t="s">
        <v>96</v>
      </c>
      <c r="P14" s="51">
        <v>0</v>
      </c>
      <c r="Q14" s="52">
        <v>1</v>
      </c>
      <c r="R14" s="53">
        <v>1</v>
      </c>
      <c r="S14" s="54">
        <v>0</v>
      </c>
      <c r="T14" s="38" t="s">
        <v>40</v>
      </c>
      <c r="U14" s="55" t="s">
        <v>41</v>
      </c>
      <c r="V14" s="42"/>
      <c r="W14" s="42"/>
      <c r="X14" s="42"/>
      <c r="Y14" s="42"/>
      <c r="Z14" s="42"/>
      <c r="AA14" s="42"/>
      <c r="AB14" s="42"/>
    </row>
    <row r="15" spans="2:28" x14ac:dyDescent="0.35">
      <c r="B15" s="11" t="s">
        <v>43</v>
      </c>
      <c r="C15" s="31"/>
      <c r="D15" s="12">
        <v>20058.019999999997</v>
      </c>
      <c r="E15" s="51">
        <v>3987.3947527749742</v>
      </c>
      <c r="F15" s="12">
        <v>1952.6514000000025</v>
      </c>
      <c r="G15" s="12" t="s">
        <v>37</v>
      </c>
      <c r="H15" s="12">
        <v>1517.9773379310345</v>
      </c>
      <c r="I15" s="12">
        <v>1517.9773379310345</v>
      </c>
      <c r="J15" s="12">
        <v>25998.066152774973</v>
      </c>
      <c r="K15" s="12">
        <v>34317.447321662963</v>
      </c>
      <c r="L15" s="12" t="s">
        <v>38</v>
      </c>
      <c r="M15" s="51">
        <v>189</v>
      </c>
      <c r="N15" s="42"/>
      <c r="O15" s="51" t="s">
        <v>97</v>
      </c>
      <c r="P15" s="51">
        <v>0</v>
      </c>
      <c r="Q15" s="52">
        <v>1</v>
      </c>
      <c r="R15" s="53">
        <v>1</v>
      </c>
      <c r="S15" s="54">
        <v>0</v>
      </c>
      <c r="T15" s="38" t="s">
        <v>40</v>
      </c>
      <c r="U15" s="55" t="s">
        <v>41</v>
      </c>
      <c r="V15" s="42"/>
      <c r="W15" s="42"/>
      <c r="X15" s="42"/>
      <c r="Y15" s="42"/>
      <c r="Z15" s="42"/>
      <c r="AA15" s="42"/>
      <c r="AB15" s="42"/>
    </row>
    <row r="16" spans="2:28" x14ac:dyDescent="0.35">
      <c r="B16" s="11" t="s">
        <v>36</v>
      </c>
      <c r="C16" s="31"/>
      <c r="D16" s="12">
        <v>12312.208000000001</v>
      </c>
      <c r="E16" s="51">
        <v>15.600000000000001</v>
      </c>
      <c r="F16" s="12">
        <v>9838.3746999999985</v>
      </c>
      <c r="G16" s="12" t="s">
        <v>37</v>
      </c>
      <c r="H16" s="12">
        <v>1527.6263931034482</v>
      </c>
      <c r="I16" s="12">
        <v>1527.6263931034482</v>
      </c>
      <c r="J16" s="12">
        <v>22166.182699999998</v>
      </c>
      <c r="K16" s="12">
        <v>29259.361163999998</v>
      </c>
      <c r="L16" s="12" t="s">
        <v>38</v>
      </c>
      <c r="M16" s="51">
        <v>200</v>
      </c>
      <c r="N16" s="42"/>
      <c r="O16" s="51" t="s">
        <v>98</v>
      </c>
      <c r="P16" s="51">
        <v>0</v>
      </c>
      <c r="Q16" s="52">
        <v>0.4</v>
      </c>
      <c r="R16" s="53">
        <v>0.4</v>
      </c>
      <c r="S16" s="54">
        <v>0</v>
      </c>
      <c r="T16" s="38" t="s">
        <v>99</v>
      </c>
      <c r="U16" s="55" t="s">
        <v>47</v>
      </c>
      <c r="V16" s="42"/>
      <c r="W16" s="42"/>
      <c r="X16" s="42"/>
      <c r="Y16" s="42"/>
      <c r="Z16" s="42"/>
      <c r="AA16" s="42"/>
      <c r="AB16" s="42"/>
    </row>
    <row r="17" spans="2:28" x14ac:dyDescent="0.35">
      <c r="B17" s="11" t="s">
        <v>43</v>
      </c>
      <c r="C17" s="31"/>
      <c r="D17" s="12">
        <v>19499.079999999998</v>
      </c>
      <c r="E17" s="51">
        <v>2823.1609271523184</v>
      </c>
      <c r="F17" s="12">
        <v>2446.7589999999982</v>
      </c>
      <c r="G17" s="12" t="s">
        <v>37</v>
      </c>
      <c r="H17" s="12">
        <v>1513.5061379310341</v>
      </c>
      <c r="I17" s="12">
        <v>1513.5061379310341</v>
      </c>
      <c r="J17" s="12">
        <v>24768.999927152316</v>
      </c>
      <c r="K17" s="12">
        <v>32695.079903841059</v>
      </c>
      <c r="L17" s="12" t="s">
        <v>38</v>
      </c>
      <c r="M17" s="51">
        <v>189</v>
      </c>
      <c r="N17" s="42"/>
      <c r="O17" s="51" t="s">
        <v>100</v>
      </c>
      <c r="P17" s="51">
        <v>0</v>
      </c>
      <c r="Q17" s="52">
        <v>1</v>
      </c>
      <c r="R17" s="53">
        <v>1</v>
      </c>
      <c r="S17" s="54">
        <v>0</v>
      </c>
      <c r="T17" s="38" t="s">
        <v>53</v>
      </c>
      <c r="U17" s="55" t="s">
        <v>101</v>
      </c>
      <c r="V17" s="42"/>
      <c r="W17" s="42"/>
      <c r="X17" s="42"/>
      <c r="Y17" s="42"/>
      <c r="Z17" s="42"/>
      <c r="AA17" s="42"/>
      <c r="AB17" s="42"/>
    </row>
    <row r="18" spans="2:28" x14ac:dyDescent="0.35">
      <c r="B18" s="11" t="s">
        <v>36</v>
      </c>
      <c r="C18" s="31"/>
      <c r="D18" s="12">
        <v>27546.33</v>
      </c>
      <c r="E18" s="51">
        <v>15.600000000000001</v>
      </c>
      <c r="F18" s="12">
        <v>3212.5029499999982</v>
      </c>
      <c r="G18" s="12" t="s">
        <v>37</v>
      </c>
      <c r="H18" s="12">
        <v>2121.2988241379312</v>
      </c>
      <c r="I18" s="12">
        <v>2121.2988241379312</v>
      </c>
      <c r="J18" s="12">
        <v>30774.432949999999</v>
      </c>
      <c r="K18" s="12">
        <v>40622.251493999996</v>
      </c>
      <c r="L18" s="12" t="s">
        <v>38</v>
      </c>
      <c r="M18" s="51">
        <v>100</v>
      </c>
      <c r="N18" s="42"/>
      <c r="O18" s="51" t="s">
        <v>102</v>
      </c>
      <c r="P18" s="51">
        <v>0</v>
      </c>
      <c r="Q18" s="52">
        <v>1</v>
      </c>
      <c r="R18" s="53">
        <v>1</v>
      </c>
      <c r="S18" s="54">
        <v>0</v>
      </c>
      <c r="T18" s="38" t="s">
        <v>103</v>
      </c>
      <c r="U18" s="55" t="s">
        <v>78</v>
      </c>
      <c r="V18" s="42"/>
      <c r="W18" s="42"/>
      <c r="X18" s="42"/>
      <c r="Y18" s="42"/>
      <c r="Z18" s="42"/>
      <c r="AA18" s="42"/>
      <c r="AB18" s="42"/>
    </row>
    <row r="19" spans="2:28" x14ac:dyDescent="0.35">
      <c r="B19" s="11" t="s">
        <v>43</v>
      </c>
      <c r="C19" s="31"/>
      <c r="D19" s="12">
        <v>27429.600000000002</v>
      </c>
      <c r="E19" s="51">
        <v>9391.245828503841</v>
      </c>
      <c r="F19" s="12">
        <v>6557.5117999999966</v>
      </c>
      <c r="G19" s="12" t="s">
        <v>37</v>
      </c>
      <c r="H19" s="12">
        <v>2343.9387448275861</v>
      </c>
      <c r="I19" s="12">
        <v>2343.9387448275861</v>
      </c>
      <c r="J19" s="12">
        <v>43378.357628503843</v>
      </c>
      <c r="K19" s="12">
        <v>57259.432069625072</v>
      </c>
      <c r="L19" s="12" t="s">
        <v>38</v>
      </c>
      <c r="M19" s="51">
        <v>189</v>
      </c>
      <c r="N19" s="42"/>
      <c r="O19" s="51" t="s">
        <v>104</v>
      </c>
      <c r="P19" s="51">
        <v>0</v>
      </c>
      <c r="Q19" s="52">
        <v>1</v>
      </c>
      <c r="R19" s="53">
        <v>1</v>
      </c>
      <c r="S19" s="54">
        <v>0</v>
      </c>
      <c r="T19" s="38" t="s">
        <v>50</v>
      </c>
      <c r="U19" s="55" t="s">
        <v>78</v>
      </c>
      <c r="V19" s="42"/>
      <c r="W19" s="42"/>
      <c r="X19" s="42"/>
      <c r="Y19" s="42"/>
      <c r="Z19" s="42"/>
      <c r="AA19" s="42"/>
      <c r="AB19" s="42"/>
    </row>
    <row r="20" spans="2:28" x14ac:dyDescent="0.35">
      <c r="B20" s="11" t="s">
        <v>43</v>
      </c>
      <c r="C20" s="31"/>
      <c r="D20" s="12">
        <v>27345.200000000001</v>
      </c>
      <c r="E20" s="51">
        <v>9391.245828503841</v>
      </c>
      <c r="F20" s="12">
        <v>6553.584899999998</v>
      </c>
      <c r="G20" s="12" t="s">
        <v>37</v>
      </c>
      <c r="H20" s="12">
        <v>2337.8472344827587</v>
      </c>
      <c r="I20" s="12">
        <v>2337.8472344827587</v>
      </c>
      <c r="J20" s="12">
        <v>43290.030728503843</v>
      </c>
      <c r="K20" s="12">
        <v>57142.840561625075</v>
      </c>
      <c r="L20" s="12" t="s">
        <v>38</v>
      </c>
      <c r="M20" s="51">
        <v>100</v>
      </c>
      <c r="N20" s="42"/>
      <c r="O20" s="51" t="s">
        <v>105</v>
      </c>
      <c r="P20" s="51">
        <v>0</v>
      </c>
      <c r="Q20" s="52">
        <v>1</v>
      </c>
      <c r="R20" s="53">
        <v>1</v>
      </c>
      <c r="S20" s="54">
        <v>0</v>
      </c>
      <c r="T20" s="38" t="s">
        <v>50</v>
      </c>
      <c r="U20" s="55" t="s">
        <v>78</v>
      </c>
      <c r="V20" s="42"/>
      <c r="W20" s="42"/>
      <c r="X20" s="42"/>
      <c r="Y20" s="42"/>
      <c r="Z20" s="42"/>
      <c r="AA20" s="42"/>
      <c r="AB20" s="42"/>
    </row>
    <row r="21" spans="2:28" x14ac:dyDescent="0.35">
      <c r="B21" s="11" t="s">
        <v>43</v>
      </c>
      <c r="C21" s="31"/>
      <c r="D21" s="12">
        <v>27336.760000000002</v>
      </c>
      <c r="E21" s="51">
        <v>9391.245828503841</v>
      </c>
      <c r="F21" s="12">
        <v>6553.4343999999983</v>
      </c>
      <c r="G21" s="12" t="s">
        <v>37</v>
      </c>
      <c r="H21" s="12">
        <v>2337.2547862068964</v>
      </c>
      <c r="I21" s="12">
        <v>2337.2547862068964</v>
      </c>
      <c r="J21" s="12">
        <v>43281.440228503838</v>
      </c>
      <c r="K21" s="12">
        <v>57131.501101625072</v>
      </c>
      <c r="L21" s="12" t="s">
        <v>38</v>
      </c>
      <c r="M21" s="51">
        <v>100</v>
      </c>
      <c r="N21" s="42"/>
      <c r="O21" s="51" t="s">
        <v>106</v>
      </c>
      <c r="P21" s="51">
        <v>0</v>
      </c>
      <c r="Q21" s="52">
        <v>1</v>
      </c>
      <c r="R21" s="53">
        <v>1</v>
      </c>
      <c r="S21" s="54">
        <v>0</v>
      </c>
      <c r="T21" s="38" t="s">
        <v>50</v>
      </c>
      <c r="U21" s="55" t="s">
        <v>78</v>
      </c>
      <c r="V21" s="42"/>
      <c r="W21" s="42"/>
      <c r="X21" s="42"/>
      <c r="Y21" s="42"/>
      <c r="Z21" s="42"/>
      <c r="AA21" s="42"/>
      <c r="AB21" s="42"/>
    </row>
    <row r="22" spans="2:28" x14ac:dyDescent="0.35">
      <c r="B22" s="11" t="s">
        <v>43</v>
      </c>
      <c r="C22" s="31"/>
      <c r="D22" s="12">
        <v>12682.359999999999</v>
      </c>
      <c r="E22" s="51">
        <v>2325.6560294117644</v>
      </c>
      <c r="F22" s="12">
        <v>1493.8168000000005</v>
      </c>
      <c r="G22" s="12" t="s">
        <v>37</v>
      </c>
      <c r="H22" s="12">
        <v>977.66736551724136</v>
      </c>
      <c r="I22" s="12">
        <v>977.66736551724136</v>
      </c>
      <c r="J22" s="12">
        <v>16501.832829411764</v>
      </c>
      <c r="K22" s="12">
        <v>21782.419334823528</v>
      </c>
      <c r="L22" s="12" t="s">
        <v>38</v>
      </c>
      <c r="M22" s="51">
        <v>200</v>
      </c>
      <c r="N22" s="42"/>
      <c r="O22" s="51" t="s">
        <v>107</v>
      </c>
      <c r="P22" s="51">
        <v>0</v>
      </c>
      <c r="Q22" s="52">
        <v>0.75</v>
      </c>
      <c r="R22" s="53">
        <v>0.75</v>
      </c>
      <c r="S22" s="54">
        <v>0</v>
      </c>
      <c r="T22" s="38" t="s">
        <v>57</v>
      </c>
      <c r="U22" s="55" t="s">
        <v>76</v>
      </c>
      <c r="V22" s="42"/>
      <c r="W22" s="42"/>
      <c r="X22" s="42"/>
      <c r="Y22" s="42"/>
      <c r="Z22" s="42"/>
      <c r="AA22" s="42"/>
      <c r="AB22" s="42"/>
    </row>
    <row r="23" spans="2:28" x14ac:dyDescent="0.35">
      <c r="B23" s="11" t="s">
        <v>43</v>
      </c>
      <c r="C23" s="31"/>
      <c r="D23" s="12">
        <v>27144.04</v>
      </c>
      <c r="E23" s="51">
        <v>9391.245828503841</v>
      </c>
      <c r="F23" s="12">
        <v>4584.122199999998</v>
      </c>
      <c r="G23" s="12" t="s">
        <v>37</v>
      </c>
      <c r="H23" s="12">
        <v>2188.1491172413794</v>
      </c>
      <c r="I23" s="12">
        <v>2188.1491172413794</v>
      </c>
      <c r="J23" s="12">
        <v>41119.408028503836</v>
      </c>
      <c r="K23" s="12">
        <v>54277.618597625064</v>
      </c>
      <c r="L23" s="12" t="s">
        <v>38</v>
      </c>
      <c r="M23" s="51">
        <v>100</v>
      </c>
      <c r="N23" s="42"/>
      <c r="O23" s="51" t="s">
        <v>108</v>
      </c>
      <c r="P23" s="51">
        <v>0</v>
      </c>
      <c r="Q23" s="52">
        <v>1</v>
      </c>
      <c r="R23" s="53">
        <v>1</v>
      </c>
      <c r="S23" s="54">
        <v>0</v>
      </c>
      <c r="T23" s="38" t="s">
        <v>50</v>
      </c>
      <c r="U23" s="55" t="s">
        <v>78</v>
      </c>
      <c r="V23" s="42"/>
      <c r="W23" s="42"/>
      <c r="X23" s="42"/>
      <c r="Y23" s="42"/>
      <c r="Z23" s="42"/>
      <c r="AA23" s="42"/>
      <c r="AB23" s="42"/>
    </row>
    <row r="24" spans="2:28" x14ac:dyDescent="0.35">
      <c r="B24" s="11" t="s">
        <v>43</v>
      </c>
      <c r="C24" s="31"/>
      <c r="D24" s="12">
        <v>29010.799999999996</v>
      </c>
      <c r="E24" s="51">
        <v>11655.644303267974</v>
      </c>
      <c r="F24" s="12">
        <v>31638.532800000008</v>
      </c>
      <c r="G24" s="12" t="s">
        <v>37</v>
      </c>
      <c r="H24" s="12">
        <v>4182.7126068965517</v>
      </c>
      <c r="I24" s="12">
        <v>4182.7126068965517</v>
      </c>
      <c r="J24" s="12">
        <v>72304.977103267971</v>
      </c>
      <c r="K24" s="12">
        <v>90404.977103267971</v>
      </c>
      <c r="L24" s="12" t="s">
        <v>38</v>
      </c>
      <c r="M24" s="51">
        <v>100</v>
      </c>
      <c r="N24" s="42"/>
      <c r="O24" s="51" t="s">
        <v>88</v>
      </c>
      <c r="P24" s="51">
        <v>0</v>
      </c>
      <c r="Q24" s="52">
        <v>1</v>
      </c>
      <c r="R24" s="53">
        <v>1</v>
      </c>
      <c r="S24" s="54">
        <v>0</v>
      </c>
      <c r="T24" s="38" t="s">
        <v>61</v>
      </c>
      <c r="U24" s="55" t="s">
        <v>89</v>
      </c>
      <c r="V24" s="42"/>
      <c r="W24" s="42"/>
      <c r="X24" s="42"/>
      <c r="Y24" s="42"/>
      <c r="Z24" s="42"/>
      <c r="AA24" s="42"/>
      <c r="AB24" s="42"/>
    </row>
    <row r="25" spans="2:28" x14ac:dyDescent="0.35">
      <c r="B25" s="11" t="s">
        <v>43</v>
      </c>
      <c r="C25" s="31"/>
      <c r="D25" s="12">
        <v>29111.839999999997</v>
      </c>
      <c r="E25" s="51">
        <v>9750.1238241235915</v>
      </c>
      <c r="F25" s="12">
        <v>15082.607400000001</v>
      </c>
      <c r="G25" s="12" t="s">
        <v>37</v>
      </c>
      <c r="H25" s="12">
        <v>3047.892924137931</v>
      </c>
      <c r="I25" s="12">
        <v>3047.892924137931</v>
      </c>
      <c r="J25" s="12">
        <v>53944.571224123589</v>
      </c>
      <c r="K25" s="12">
        <v>71206.834015843138</v>
      </c>
      <c r="L25" s="12" t="s">
        <v>38</v>
      </c>
      <c r="M25" s="51">
        <v>100</v>
      </c>
      <c r="N25" s="42"/>
      <c r="O25" s="51" t="s">
        <v>109</v>
      </c>
      <c r="P25" s="51">
        <v>0</v>
      </c>
      <c r="Q25" s="52">
        <v>1</v>
      </c>
      <c r="R25" s="53">
        <v>1</v>
      </c>
      <c r="S25" s="54">
        <v>0</v>
      </c>
      <c r="T25" s="38" t="s">
        <v>46</v>
      </c>
      <c r="U25" s="55" t="s">
        <v>89</v>
      </c>
      <c r="V25" s="42"/>
      <c r="W25" s="42"/>
      <c r="X25" s="42"/>
      <c r="Y25" s="42"/>
      <c r="Z25" s="42"/>
      <c r="AA25" s="42"/>
      <c r="AB25" s="42"/>
    </row>
    <row r="26" spans="2:28" x14ac:dyDescent="0.35">
      <c r="B26" s="40"/>
      <c r="C26" s="40"/>
      <c r="D26" s="40"/>
      <c r="E26" s="40"/>
      <c r="F26" s="40"/>
      <c r="G26" s="40"/>
      <c r="H26" s="40"/>
      <c r="I26" s="40"/>
      <c r="J26" s="40"/>
      <c r="K26" s="12">
        <v>377.00000000000011</v>
      </c>
      <c r="L26" s="40"/>
      <c r="M26" s="51" t="s">
        <v>90</v>
      </c>
      <c r="N26" s="40"/>
      <c r="O26" s="40"/>
      <c r="P26" s="40"/>
      <c r="Q26" s="40"/>
      <c r="R26" s="40"/>
      <c r="S26" s="40"/>
      <c r="T26" s="38" t="s">
        <v>110</v>
      </c>
      <c r="U26" s="56"/>
      <c r="V26" s="40"/>
      <c r="W26" s="40"/>
      <c r="X26" s="40"/>
      <c r="Y26" s="40"/>
      <c r="Z26" s="40"/>
      <c r="AA26" s="40"/>
      <c r="AB26" s="40"/>
    </row>
    <row r="27" spans="2:28" s="20" customFormat="1" ht="12" x14ac:dyDescent="0.3">
      <c r="W27" s="34"/>
    </row>
    <row r="28" spans="2:28" s="20" customFormat="1" ht="19" thickBot="1" x14ac:dyDescent="0.5">
      <c r="B28" s="18" t="s">
        <v>17</v>
      </c>
      <c r="C28" s="1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</row>
    <row r="29" spans="2:28" s="20" customFormat="1" ht="32" thickBot="1" x14ac:dyDescent="0.35">
      <c r="B29" s="2" t="s">
        <v>344</v>
      </c>
      <c r="C29" s="2" t="s">
        <v>2</v>
      </c>
      <c r="D29" s="2" t="s">
        <v>21</v>
      </c>
      <c r="E29" s="2" t="s">
        <v>1</v>
      </c>
      <c r="F29" s="2" t="s">
        <v>22</v>
      </c>
      <c r="G29" s="2" t="s">
        <v>14</v>
      </c>
      <c r="H29" s="2" t="s">
        <v>18</v>
      </c>
      <c r="I29" s="2" t="s">
        <v>15</v>
      </c>
      <c r="J29" s="2" t="s">
        <v>10</v>
      </c>
      <c r="K29" s="2" t="s">
        <v>23</v>
      </c>
      <c r="L29" s="2" t="s">
        <v>16</v>
      </c>
      <c r="M29" s="2" t="s">
        <v>3</v>
      </c>
      <c r="N29" s="2" t="s">
        <v>11</v>
      </c>
      <c r="O29" s="2" t="s">
        <v>4</v>
      </c>
      <c r="P29" s="2" t="s">
        <v>5</v>
      </c>
      <c r="Q29" s="2" t="s">
        <v>24</v>
      </c>
      <c r="R29" s="2" t="s">
        <v>25</v>
      </c>
      <c r="S29" s="2" t="s">
        <v>26</v>
      </c>
      <c r="T29" s="2" t="s">
        <v>27</v>
      </c>
      <c r="U29" s="2" t="s">
        <v>6</v>
      </c>
      <c r="V29" s="2" t="s">
        <v>7</v>
      </c>
      <c r="W29" s="2" t="s">
        <v>28</v>
      </c>
      <c r="X29" s="2" t="s">
        <v>29</v>
      </c>
      <c r="Y29" s="2" t="s">
        <v>30</v>
      </c>
      <c r="Z29" s="2" t="s">
        <v>31</v>
      </c>
      <c r="AA29" s="3" t="s">
        <v>8</v>
      </c>
      <c r="AB29" s="3" t="s">
        <v>9</v>
      </c>
    </row>
    <row r="30" spans="2:28" s="20" customFormat="1" x14ac:dyDescent="0.3">
      <c r="B30" s="4"/>
      <c r="C30" s="35"/>
      <c r="D30" s="5"/>
      <c r="E30" s="5"/>
      <c r="F30" s="5"/>
      <c r="G30" s="5"/>
      <c r="H30" s="5"/>
      <c r="I30" s="5"/>
      <c r="J30" s="5"/>
      <c r="K30" s="5"/>
      <c r="L30" s="4"/>
      <c r="M30" s="4"/>
      <c r="N30" s="4"/>
      <c r="O30" s="6"/>
      <c r="P30" s="7"/>
      <c r="Q30" s="8"/>
      <c r="R30" s="8"/>
      <c r="S30" s="8"/>
      <c r="T30" s="9"/>
      <c r="U30" s="9"/>
      <c r="V30" s="10"/>
      <c r="W30" s="36"/>
      <c r="X30" s="36" t="s">
        <v>0</v>
      </c>
      <c r="Y30" s="36"/>
      <c r="Z30" s="36"/>
      <c r="AA30" s="36"/>
      <c r="AB30" s="36"/>
    </row>
    <row r="31" spans="2:28" s="20" customFormat="1" x14ac:dyDescent="0.3">
      <c r="B31" s="4"/>
      <c r="C31" s="31"/>
      <c r="D31" s="5"/>
      <c r="E31" s="5"/>
      <c r="F31" s="5"/>
      <c r="G31" s="5"/>
      <c r="H31" s="5"/>
      <c r="I31" s="5"/>
      <c r="J31" s="5"/>
      <c r="K31" s="5"/>
      <c r="L31" s="4"/>
      <c r="M31" s="4"/>
      <c r="N31" s="4"/>
      <c r="O31" s="6"/>
      <c r="P31" s="7"/>
      <c r="Q31" s="8"/>
      <c r="R31" s="8"/>
      <c r="S31" s="8"/>
      <c r="T31" s="9"/>
      <c r="U31" s="9"/>
      <c r="V31" s="10"/>
      <c r="W31" s="36"/>
      <c r="X31" s="36"/>
      <c r="Y31" s="36"/>
      <c r="Z31" s="36"/>
      <c r="AA31" s="36"/>
      <c r="AB31" s="36"/>
    </row>
    <row r="32" spans="2:28" s="20" customFormat="1" x14ac:dyDescent="0.3">
      <c r="B32" s="4"/>
      <c r="C32" s="31"/>
      <c r="D32" s="5"/>
      <c r="E32" s="5"/>
      <c r="F32" s="5"/>
      <c r="G32" s="5"/>
      <c r="H32" s="5"/>
      <c r="I32" s="5"/>
      <c r="J32" s="5"/>
      <c r="K32" s="5"/>
      <c r="L32" s="4"/>
      <c r="M32" s="4"/>
      <c r="N32" s="4"/>
      <c r="O32" s="6"/>
      <c r="P32" s="7"/>
      <c r="Q32" s="8"/>
      <c r="R32" s="8"/>
      <c r="S32" s="8"/>
      <c r="T32" s="9"/>
      <c r="U32" s="9"/>
      <c r="V32" s="10"/>
      <c r="W32" s="36"/>
      <c r="X32" s="36"/>
      <c r="Y32" s="36"/>
      <c r="Z32" s="36"/>
      <c r="AA32" s="36"/>
      <c r="AB32" s="36"/>
    </row>
    <row r="33" spans="2:37" s="20" customFormat="1" x14ac:dyDescent="0.3">
      <c r="B33" s="11"/>
      <c r="C33" s="31"/>
      <c r="D33" s="12"/>
      <c r="E33" s="12"/>
      <c r="F33" s="12"/>
      <c r="G33" s="12"/>
      <c r="H33" s="12"/>
      <c r="I33" s="12"/>
      <c r="J33" s="12"/>
      <c r="K33" s="12"/>
      <c r="L33" s="11"/>
      <c r="M33" s="11"/>
      <c r="N33" s="11"/>
      <c r="O33" s="37"/>
      <c r="P33" s="13"/>
      <c r="Q33" s="14"/>
      <c r="R33" s="14"/>
      <c r="S33" s="14"/>
      <c r="T33" s="38"/>
      <c r="U33" s="38"/>
      <c r="V33" s="15"/>
      <c r="W33" s="39"/>
      <c r="X33" s="39"/>
      <c r="Y33" s="39"/>
      <c r="Z33" s="39"/>
      <c r="AA33" s="39"/>
      <c r="AB33" s="39"/>
    </row>
    <row r="34" spans="2:37" s="20" customFormat="1" x14ac:dyDescent="0.3">
      <c r="B34" s="11"/>
      <c r="C34" s="31"/>
      <c r="D34" s="12"/>
      <c r="E34" s="12"/>
      <c r="F34" s="12"/>
      <c r="G34" s="12"/>
      <c r="H34" s="12"/>
      <c r="I34" s="12"/>
      <c r="J34" s="12"/>
      <c r="K34" s="12"/>
      <c r="L34" s="11"/>
      <c r="M34" s="11"/>
      <c r="N34" s="11"/>
      <c r="O34" s="37"/>
      <c r="P34" s="13"/>
      <c r="Q34" s="14"/>
      <c r="R34" s="14"/>
      <c r="S34" s="14"/>
      <c r="T34" s="38"/>
      <c r="U34" s="38"/>
      <c r="V34" s="16"/>
      <c r="W34" s="39"/>
      <c r="X34" s="39"/>
      <c r="Y34" s="39"/>
      <c r="Z34" s="39"/>
      <c r="AA34" s="39"/>
      <c r="AB34" s="39"/>
    </row>
    <row r="35" spans="2:37" s="20" customFormat="1" x14ac:dyDescent="0.3">
      <c r="B35" s="11"/>
      <c r="C35" s="31"/>
      <c r="D35" s="12"/>
      <c r="E35" s="12"/>
      <c r="F35" s="12"/>
      <c r="G35" s="12"/>
      <c r="H35" s="12"/>
      <c r="I35" s="12"/>
      <c r="J35" s="12"/>
      <c r="K35" s="12"/>
      <c r="L35" s="11"/>
      <c r="M35" s="11"/>
      <c r="N35" s="11"/>
      <c r="O35" s="37"/>
      <c r="P35" s="13"/>
      <c r="Q35" s="14"/>
      <c r="R35" s="14"/>
      <c r="S35" s="14"/>
      <c r="T35" s="38"/>
      <c r="U35" s="38"/>
      <c r="V35" s="16"/>
      <c r="W35" s="39"/>
      <c r="X35" s="39"/>
      <c r="Y35" s="39"/>
      <c r="Z35" s="39"/>
      <c r="AA35" s="39"/>
      <c r="AB35" s="39"/>
    </row>
    <row r="36" spans="2:37" s="20" customFormat="1" ht="12" x14ac:dyDescent="0.3">
      <c r="W36" s="34"/>
    </row>
    <row r="37" spans="2:37" s="20" customFormat="1" ht="12" x14ac:dyDescent="0.3">
      <c r="W37" s="34"/>
    </row>
    <row r="38" spans="2:37" s="20" customFormat="1" ht="12" x14ac:dyDescent="0.3">
      <c r="W38" s="34"/>
    </row>
    <row r="39" spans="2:37" s="20" customFormat="1" ht="12" x14ac:dyDescent="0.3">
      <c r="W39" s="34"/>
    </row>
    <row r="40" spans="2:37" s="20" customFormat="1" ht="12" x14ac:dyDescent="0.3">
      <c r="W40" s="34"/>
    </row>
    <row r="41" spans="2:37" s="20" customFormat="1" ht="12" x14ac:dyDescent="0.3">
      <c r="W41" s="34"/>
    </row>
    <row r="42" spans="2:37" s="20" customFormat="1" ht="12" x14ac:dyDescent="0.3">
      <c r="W42" s="34"/>
    </row>
    <row r="43" spans="2:37" s="20" customFormat="1" ht="12" x14ac:dyDescent="0.3">
      <c r="W43" s="34"/>
    </row>
    <row r="44" spans="2:37" s="20" customFormat="1" ht="12" x14ac:dyDescent="0.3">
      <c r="W44" s="34"/>
    </row>
    <row r="45" spans="2:37" s="20" customFormat="1" ht="12" x14ac:dyDescent="0.3">
      <c r="W45" s="34"/>
    </row>
    <row r="46" spans="2:37" s="20" customFormat="1" ht="12" x14ac:dyDescent="0.3">
      <c r="W46" s="34"/>
    </row>
    <row r="47" spans="2:37" s="20" customFormat="1" x14ac:dyDescent="0.35">
      <c r="W47" s="34"/>
      <c r="AG47"/>
      <c r="AH47"/>
      <c r="AI47"/>
      <c r="AJ47"/>
      <c r="AK47"/>
    </row>
    <row r="48" spans="2:37" s="20" customFormat="1" x14ac:dyDescent="0.35">
      <c r="W48" s="34"/>
      <c r="AG48"/>
      <c r="AH48"/>
      <c r="AI48"/>
      <c r="AJ48"/>
      <c r="AK48"/>
    </row>
    <row r="49" spans="23:37" s="20" customFormat="1" x14ac:dyDescent="0.35">
      <c r="W49" s="34"/>
      <c r="AG49"/>
      <c r="AH49"/>
      <c r="AI49"/>
      <c r="AJ49"/>
      <c r="AK49"/>
    </row>
    <row r="50" spans="23:37" s="20" customFormat="1" x14ac:dyDescent="0.35">
      <c r="W50" s="34"/>
      <c r="AG50"/>
      <c r="AH50"/>
      <c r="AI50"/>
      <c r="AJ50"/>
      <c r="AK50"/>
    </row>
  </sheetData>
  <autoFilter ref="B9:AD26"/>
  <mergeCells count="3">
    <mergeCell ref="C4:E4"/>
    <mergeCell ref="C5:D5"/>
    <mergeCell ref="C6:D6"/>
  </mergeCells>
  <pageMargins left="0.7" right="0.7" top="0.75" bottom="0.75" header="0.3" footer="0.3"/>
  <pageSetup paperSize="9" scale="2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60"/>
  <sheetViews>
    <sheetView zoomScaleNormal="100" workbookViewId="0">
      <selection activeCell="B2" sqref="B2:AB46"/>
    </sheetView>
  </sheetViews>
  <sheetFormatPr defaultColWidth="11.453125" defaultRowHeight="14.5" x14ac:dyDescent="0.35"/>
  <cols>
    <col min="1" max="1" width="6.81640625" customWidth="1"/>
    <col min="2" max="2" width="19" style="20" customWidth="1"/>
    <col min="3" max="3" width="13.54296875" customWidth="1"/>
    <col min="4" max="4" width="13.54296875" style="20" customWidth="1"/>
    <col min="5" max="5" width="13.26953125" customWidth="1"/>
    <col min="6" max="6" width="19.26953125" customWidth="1"/>
    <col min="7" max="7" width="22.54296875" customWidth="1"/>
    <col min="8" max="8" width="14.453125" customWidth="1"/>
    <col min="9" max="9" width="15.26953125" customWidth="1"/>
    <col min="10" max="10" width="16.453125" customWidth="1"/>
    <col min="11" max="11" width="16.81640625" customWidth="1"/>
    <col min="12" max="12" width="16.26953125" customWidth="1"/>
    <col min="13" max="13" width="10" customWidth="1"/>
    <col min="14" max="14" width="17.7265625" bestFit="1" customWidth="1"/>
    <col min="15" max="15" width="14.26953125" customWidth="1"/>
    <col min="16" max="16" width="11.54296875" customWidth="1"/>
    <col min="17" max="17" width="19.54296875" customWidth="1"/>
    <col min="18" max="18" width="15.453125" customWidth="1"/>
    <col min="19" max="19" width="20.81640625" customWidth="1"/>
    <col min="20" max="20" width="17.1796875" customWidth="1"/>
    <col min="21" max="21" width="11.81640625" customWidth="1"/>
    <col min="22" max="22" width="9.453125" customWidth="1"/>
    <col min="23" max="23" width="15.81640625" style="21" customWidth="1"/>
    <col min="24" max="24" width="15.81640625" customWidth="1"/>
    <col min="25" max="25" width="10.7265625" customWidth="1"/>
    <col min="26" max="26" width="20" customWidth="1"/>
    <col min="27" max="27" width="14.1796875" customWidth="1"/>
    <col min="28" max="28" width="15.54296875" customWidth="1"/>
    <col min="29" max="30" width="25.54296875" customWidth="1"/>
  </cols>
  <sheetData>
    <row r="2" spans="2:28" ht="18.5" x14ac:dyDescent="0.45">
      <c r="B2" s="18" t="s">
        <v>13</v>
      </c>
      <c r="C2" s="1"/>
    </row>
    <row r="3" spans="2:28" x14ac:dyDescent="0.35">
      <c r="B3" s="22"/>
      <c r="C3" s="23"/>
      <c r="F3" s="23"/>
      <c r="Q3" s="23"/>
      <c r="R3" s="23"/>
      <c r="S3" s="23"/>
    </row>
    <row r="4" spans="2:28" ht="15.5" x14ac:dyDescent="0.35">
      <c r="B4" s="24" t="s">
        <v>12</v>
      </c>
      <c r="C4" s="423" t="s">
        <v>33</v>
      </c>
      <c r="D4" s="424"/>
      <c r="E4" s="428"/>
      <c r="Q4" s="23"/>
      <c r="R4" s="23"/>
      <c r="S4" s="23"/>
    </row>
    <row r="5" spans="2:28" ht="15.5" x14ac:dyDescent="0.35">
      <c r="B5" s="24" t="s">
        <v>20</v>
      </c>
      <c r="C5" s="423" t="s">
        <v>111</v>
      </c>
      <c r="D5" s="424" t="s">
        <v>34</v>
      </c>
      <c r="E5" s="49"/>
      <c r="Q5" s="23"/>
      <c r="R5" s="23"/>
      <c r="S5" s="23"/>
    </row>
    <row r="6" spans="2:28" ht="15.5" x14ac:dyDescent="0.35">
      <c r="B6" s="25" t="s">
        <v>19</v>
      </c>
      <c r="C6" s="423" t="s">
        <v>112</v>
      </c>
      <c r="D6" s="424"/>
      <c r="E6" s="428"/>
      <c r="Q6" s="23"/>
      <c r="R6" s="23"/>
      <c r="S6" s="23"/>
    </row>
    <row r="7" spans="2:28" ht="15.5" x14ac:dyDescent="0.35">
      <c r="B7" s="24" t="s">
        <v>32</v>
      </c>
      <c r="C7" s="47">
        <v>45629</v>
      </c>
      <c r="D7" s="48"/>
      <c r="E7" s="50"/>
    </row>
    <row r="8" spans="2:28" ht="15" thickBot="1" x14ac:dyDescent="0.4">
      <c r="B8" s="29"/>
      <c r="G8" s="27"/>
      <c r="N8" s="26"/>
      <c r="O8" s="30"/>
      <c r="P8" s="26"/>
      <c r="Q8" s="28"/>
    </row>
    <row r="9" spans="2:28" ht="33.75" customHeight="1" thickBot="1" x14ac:dyDescent="0.4">
      <c r="B9" s="2" t="s">
        <v>344</v>
      </c>
      <c r="C9" s="19" t="s">
        <v>2</v>
      </c>
      <c r="D9" s="19" t="s">
        <v>21</v>
      </c>
      <c r="E9" s="19" t="s">
        <v>1</v>
      </c>
      <c r="F9" s="19" t="s">
        <v>22</v>
      </c>
      <c r="G9" s="19" t="s">
        <v>14</v>
      </c>
      <c r="H9" s="19" t="s">
        <v>18</v>
      </c>
      <c r="I9" s="19" t="s">
        <v>15</v>
      </c>
      <c r="J9" s="19" t="s">
        <v>10</v>
      </c>
      <c r="K9" s="19" t="s">
        <v>23</v>
      </c>
      <c r="L9" s="19" t="s">
        <v>16</v>
      </c>
      <c r="M9" s="19" t="s">
        <v>3</v>
      </c>
      <c r="N9" s="19" t="s">
        <v>11</v>
      </c>
      <c r="O9" s="19" t="s">
        <v>4</v>
      </c>
      <c r="P9" s="19" t="s">
        <v>5</v>
      </c>
      <c r="Q9" s="19" t="s">
        <v>24</v>
      </c>
      <c r="R9" s="19" t="s">
        <v>25</v>
      </c>
      <c r="S9" s="19" t="s">
        <v>26</v>
      </c>
      <c r="T9" s="19" t="s">
        <v>27</v>
      </c>
      <c r="U9" s="19" t="s">
        <v>6</v>
      </c>
      <c r="V9" s="19" t="s">
        <v>7</v>
      </c>
      <c r="W9" s="19" t="s">
        <v>587</v>
      </c>
      <c r="X9" s="19" t="s">
        <v>29</v>
      </c>
      <c r="Y9" s="19" t="s">
        <v>30</v>
      </c>
      <c r="Z9" s="19" t="s">
        <v>31</v>
      </c>
      <c r="AA9" s="57" t="s">
        <v>8</v>
      </c>
      <c r="AB9" s="57" t="s">
        <v>9</v>
      </c>
    </row>
    <row r="10" spans="2:28" ht="48" x14ac:dyDescent="0.35">
      <c r="B10" s="80" t="s">
        <v>43</v>
      </c>
      <c r="C10" s="256"/>
      <c r="D10" s="340">
        <v>6139.2429999999995</v>
      </c>
      <c r="E10" s="341">
        <v>9391.245828503841</v>
      </c>
      <c r="F10" s="340">
        <v>2575.5079000000014</v>
      </c>
      <c r="G10" s="340" t="s">
        <v>37</v>
      </c>
      <c r="H10" s="340">
        <v>601.01730344827592</v>
      </c>
      <c r="I10" s="340">
        <v>601.01730344827592</v>
      </c>
      <c r="J10" s="340">
        <v>18105.996728503844</v>
      </c>
      <c r="K10" s="340">
        <v>23899.915681625076</v>
      </c>
      <c r="L10" s="340" t="s">
        <v>38</v>
      </c>
      <c r="M10" s="341">
        <v>200</v>
      </c>
      <c r="N10" s="341"/>
      <c r="O10" s="341" t="s">
        <v>113</v>
      </c>
      <c r="P10" s="341">
        <v>0</v>
      </c>
      <c r="Q10" s="342">
        <v>0.21</v>
      </c>
      <c r="R10" s="343">
        <v>0.21</v>
      </c>
      <c r="S10" s="344">
        <v>0</v>
      </c>
      <c r="T10" s="260" t="s">
        <v>50</v>
      </c>
      <c r="U10" s="345" t="s">
        <v>51</v>
      </c>
      <c r="V10" s="347"/>
      <c r="W10" s="347"/>
      <c r="X10" s="347"/>
      <c r="Y10" s="347"/>
      <c r="Z10" s="347"/>
      <c r="AA10" s="347"/>
      <c r="AB10" s="347"/>
    </row>
    <row r="11" spans="2:28" ht="48" x14ac:dyDescent="0.35">
      <c r="B11" s="80" t="s">
        <v>43</v>
      </c>
      <c r="C11" s="256"/>
      <c r="D11" s="340">
        <v>20891.03</v>
      </c>
      <c r="E11" s="341">
        <v>3987.3947527749742</v>
      </c>
      <c r="F11" s="340">
        <v>2209.7344500000036</v>
      </c>
      <c r="G11" s="340" t="s">
        <v>37</v>
      </c>
      <c r="H11" s="340">
        <v>1593.1561689655175</v>
      </c>
      <c r="I11" s="340">
        <v>1593.1561689655175</v>
      </c>
      <c r="J11" s="340">
        <v>27088.159202774976</v>
      </c>
      <c r="K11" s="340">
        <v>35756.370147662972</v>
      </c>
      <c r="L11" s="340" t="s">
        <v>38</v>
      </c>
      <c r="M11" s="341">
        <v>189</v>
      </c>
      <c r="N11" s="341"/>
      <c r="O11" s="341" t="s">
        <v>114</v>
      </c>
      <c r="P11" s="341">
        <v>0</v>
      </c>
      <c r="Q11" s="342">
        <v>1</v>
      </c>
      <c r="R11" s="343">
        <v>1</v>
      </c>
      <c r="S11" s="344">
        <v>0</v>
      </c>
      <c r="T11" s="260" t="s">
        <v>40</v>
      </c>
      <c r="U11" s="345" t="s">
        <v>41</v>
      </c>
      <c r="V11" s="347"/>
      <c r="W11" s="347"/>
      <c r="X11" s="347"/>
      <c r="Y11" s="347"/>
      <c r="Z11" s="347"/>
      <c r="AA11" s="347"/>
      <c r="AB11" s="347"/>
    </row>
    <row r="12" spans="2:28" ht="48" x14ac:dyDescent="0.35">
      <c r="B12" s="80" t="s">
        <v>43</v>
      </c>
      <c r="C12" s="256"/>
      <c r="D12" s="340">
        <v>19341.778000000002</v>
      </c>
      <c r="E12" s="341">
        <v>9391.245828503841</v>
      </c>
      <c r="F12" s="340">
        <v>4159.7694999999985</v>
      </c>
      <c r="G12" s="340" t="s">
        <v>37</v>
      </c>
      <c r="H12" s="340">
        <v>1620.7963793103449</v>
      </c>
      <c r="I12" s="340">
        <v>1620.7963793103449</v>
      </c>
      <c r="J12" s="340">
        <v>32892.793328503845</v>
      </c>
      <c r="K12" s="340">
        <v>43418.487193625078</v>
      </c>
      <c r="L12" s="340" t="s">
        <v>38</v>
      </c>
      <c r="M12" s="341">
        <v>289</v>
      </c>
      <c r="N12" s="341"/>
      <c r="O12" s="341" t="s">
        <v>115</v>
      </c>
      <c r="P12" s="341">
        <v>0</v>
      </c>
      <c r="Q12" s="342">
        <v>0.66</v>
      </c>
      <c r="R12" s="343">
        <v>0.66</v>
      </c>
      <c r="S12" s="344">
        <v>0</v>
      </c>
      <c r="T12" s="260" t="s">
        <v>50</v>
      </c>
      <c r="U12" s="345" t="s">
        <v>51</v>
      </c>
      <c r="V12" s="347"/>
      <c r="W12" s="347"/>
      <c r="X12" s="347"/>
      <c r="Y12" s="347"/>
      <c r="Z12" s="347"/>
      <c r="AA12" s="347"/>
      <c r="AB12" s="347"/>
    </row>
    <row r="13" spans="2:28" ht="48" x14ac:dyDescent="0.35">
      <c r="B13" s="80" t="s">
        <v>43</v>
      </c>
      <c r="C13" s="256"/>
      <c r="D13" s="340">
        <v>20784.839999999997</v>
      </c>
      <c r="E13" s="341">
        <v>3987.3947527749742</v>
      </c>
      <c r="F13" s="340">
        <v>2107.0511000000042</v>
      </c>
      <c r="G13" s="340" t="s">
        <v>37</v>
      </c>
      <c r="H13" s="340">
        <v>1578.7511103448276</v>
      </c>
      <c r="I13" s="340">
        <v>1578.7511103448276</v>
      </c>
      <c r="J13" s="340">
        <v>26879.285852774974</v>
      </c>
      <c r="K13" s="340">
        <v>35480.657325662971</v>
      </c>
      <c r="L13" s="340" t="s">
        <v>38</v>
      </c>
      <c r="M13" s="341">
        <v>100</v>
      </c>
      <c r="N13" s="341"/>
      <c r="O13" s="341" t="s">
        <v>116</v>
      </c>
      <c r="P13" s="341">
        <v>0</v>
      </c>
      <c r="Q13" s="342">
        <v>1</v>
      </c>
      <c r="R13" s="343">
        <v>1</v>
      </c>
      <c r="S13" s="344">
        <v>0</v>
      </c>
      <c r="T13" s="260" t="s">
        <v>40</v>
      </c>
      <c r="U13" s="345" t="s">
        <v>41</v>
      </c>
      <c r="V13" s="347"/>
      <c r="W13" s="347"/>
      <c r="X13" s="347"/>
      <c r="Y13" s="347"/>
      <c r="Z13" s="347"/>
      <c r="AA13" s="347"/>
      <c r="AB13" s="347"/>
    </row>
    <row r="14" spans="2:28" ht="48" x14ac:dyDescent="0.35">
      <c r="B14" s="80" t="s">
        <v>43</v>
      </c>
      <c r="C14" s="256"/>
      <c r="D14" s="340">
        <v>29285.42</v>
      </c>
      <c r="E14" s="341">
        <v>9391.245828503841</v>
      </c>
      <c r="F14" s="340">
        <v>7347.4002000000037</v>
      </c>
      <c r="G14" s="340" t="s">
        <v>37</v>
      </c>
      <c r="H14" s="340">
        <v>2526.4013931034483</v>
      </c>
      <c r="I14" s="340">
        <v>2526.4013931034483</v>
      </c>
      <c r="J14" s="340">
        <v>46024.066028503847</v>
      </c>
      <c r="K14" s="340">
        <v>60751.76715762508</v>
      </c>
      <c r="L14" s="340" t="s">
        <v>38</v>
      </c>
      <c r="M14" s="341">
        <v>100</v>
      </c>
      <c r="N14" s="341"/>
      <c r="O14" s="341" t="s">
        <v>117</v>
      </c>
      <c r="P14" s="341">
        <v>0</v>
      </c>
      <c r="Q14" s="342">
        <v>1</v>
      </c>
      <c r="R14" s="343">
        <v>1</v>
      </c>
      <c r="S14" s="344">
        <v>0</v>
      </c>
      <c r="T14" s="260" t="s">
        <v>50</v>
      </c>
      <c r="U14" s="345" t="s">
        <v>51</v>
      </c>
      <c r="V14" s="347"/>
      <c r="W14" s="347"/>
      <c r="X14" s="347"/>
      <c r="Y14" s="347"/>
      <c r="Z14" s="347"/>
      <c r="AA14" s="347"/>
      <c r="AB14" s="347"/>
    </row>
    <row r="15" spans="2:28" ht="48" x14ac:dyDescent="0.35">
      <c r="B15" s="80" t="s">
        <v>43</v>
      </c>
      <c r="C15" s="256"/>
      <c r="D15" s="340">
        <v>18279.864959999999</v>
      </c>
      <c r="E15" s="341">
        <v>9750.1238241235915</v>
      </c>
      <c r="F15" s="340">
        <v>18218.042990000002</v>
      </c>
      <c r="G15" s="340" t="s">
        <v>37</v>
      </c>
      <c r="H15" s="340">
        <v>2517.0971</v>
      </c>
      <c r="I15" s="340">
        <v>2517.0971</v>
      </c>
      <c r="J15" s="340">
        <v>46248.031774123592</v>
      </c>
      <c r="K15" s="340">
        <v>61047.401941843142</v>
      </c>
      <c r="L15" s="340" t="s">
        <v>38</v>
      </c>
      <c r="M15" s="341">
        <v>200</v>
      </c>
      <c r="N15" s="341"/>
      <c r="O15" s="341" t="s">
        <v>118</v>
      </c>
      <c r="P15" s="341">
        <v>0</v>
      </c>
      <c r="Q15" s="342">
        <v>0.57799999999999996</v>
      </c>
      <c r="R15" s="343">
        <v>0.57799999999999996</v>
      </c>
      <c r="S15" s="344">
        <v>0</v>
      </c>
      <c r="T15" s="260" t="s">
        <v>46</v>
      </c>
      <c r="U15" s="345" t="s">
        <v>47</v>
      </c>
      <c r="V15" s="347"/>
      <c r="W15" s="347"/>
      <c r="X15" s="347"/>
      <c r="Y15" s="347"/>
      <c r="Z15" s="347"/>
      <c r="AA15" s="347"/>
      <c r="AB15" s="347"/>
    </row>
    <row r="16" spans="2:28" ht="48" x14ac:dyDescent="0.35">
      <c r="B16" s="80" t="s">
        <v>43</v>
      </c>
      <c r="C16" s="256"/>
      <c r="D16" s="340">
        <v>29925.64</v>
      </c>
      <c r="E16" s="341">
        <v>2961.4411162790702</v>
      </c>
      <c r="F16" s="340">
        <v>14364.275799999996</v>
      </c>
      <c r="G16" s="340" t="s">
        <v>37</v>
      </c>
      <c r="H16" s="340">
        <v>3054.4769517241375</v>
      </c>
      <c r="I16" s="340">
        <v>3054.4769517241375</v>
      </c>
      <c r="J16" s="340">
        <v>47251.356916279066</v>
      </c>
      <c r="K16" s="340">
        <v>62371.791129488367</v>
      </c>
      <c r="L16" s="340" t="s">
        <v>38</v>
      </c>
      <c r="M16" s="341">
        <v>100</v>
      </c>
      <c r="N16" s="341"/>
      <c r="O16" s="341" t="s">
        <v>119</v>
      </c>
      <c r="P16" s="341">
        <v>0</v>
      </c>
      <c r="Q16" s="342">
        <v>1</v>
      </c>
      <c r="R16" s="343">
        <v>1</v>
      </c>
      <c r="S16" s="344">
        <v>0</v>
      </c>
      <c r="T16" s="260" t="s">
        <v>68</v>
      </c>
      <c r="U16" s="345" t="s">
        <v>51</v>
      </c>
      <c r="V16" s="347"/>
      <c r="W16" s="347"/>
      <c r="X16" s="347"/>
      <c r="Y16" s="347"/>
      <c r="Z16" s="347"/>
      <c r="AA16" s="347"/>
      <c r="AB16" s="347"/>
    </row>
    <row r="17" spans="2:28" ht="48" x14ac:dyDescent="0.35">
      <c r="B17" s="80" t="s">
        <v>36</v>
      </c>
      <c r="C17" s="256"/>
      <c r="D17" s="340">
        <v>27262.27</v>
      </c>
      <c r="E17" s="341">
        <v>9391.245828503841</v>
      </c>
      <c r="F17" s="340">
        <v>7603.329099999999</v>
      </c>
      <c r="G17" s="340" t="s">
        <v>37</v>
      </c>
      <c r="H17" s="340">
        <v>2404.5240758620689</v>
      </c>
      <c r="I17" s="340">
        <v>2404.5240758620689</v>
      </c>
      <c r="J17" s="340">
        <v>44256.844928503837</v>
      </c>
      <c r="K17" s="340">
        <v>58419.035305625068</v>
      </c>
      <c r="L17" s="340" t="s">
        <v>38</v>
      </c>
      <c r="M17" s="341">
        <v>200</v>
      </c>
      <c r="N17" s="341"/>
      <c r="O17" s="341" t="s">
        <v>120</v>
      </c>
      <c r="P17" s="341">
        <v>0</v>
      </c>
      <c r="Q17" s="342">
        <v>0.9</v>
      </c>
      <c r="R17" s="343">
        <v>0.9</v>
      </c>
      <c r="S17" s="344">
        <v>0</v>
      </c>
      <c r="T17" s="260" t="s">
        <v>50</v>
      </c>
      <c r="U17" s="345" t="s">
        <v>51</v>
      </c>
      <c r="V17" s="347"/>
      <c r="W17" s="347"/>
      <c r="X17" s="347"/>
      <c r="Y17" s="347"/>
      <c r="Z17" s="347"/>
      <c r="AA17" s="347"/>
      <c r="AB17" s="347"/>
    </row>
    <row r="18" spans="2:28" ht="48" x14ac:dyDescent="0.35">
      <c r="B18" s="80" t="s">
        <v>43</v>
      </c>
      <c r="C18" s="256"/>
      <c r="D18" s="340">
        <v>29164.579999999998</v>
      </c>
      <c r="E18" s="341">
        <v>9391.245828503841</v>
      </c>
      <c r="F18" s="340">
        <v>8967.9344999999994</v>
      </c>
      <c r="G18" s="340" t="s">
        <v>37</v>
      </c>
      <c r="H18" s="340">
        <v>2629.8285862068965</v>
      </c>
      <c r="I18" s="340">
        <v>2629.8285862068965</v>
      </c>
      <c r="J18" s="340">
        <v>47523.760328503835</v>
      </c>
      <c r="K18" s="340">
        <v>62731.363633625064</v>
      </c>
      <c r="L18" s="340" t="s">
        <v>38</v>
      </c>
      <c r="M18" s="341">
        <v>100</v>
      </c>
      <c r="N18" s="341"/>
      <c r="O18" s="341" t="s">
        <v>121</v>
      </c>
      <c r="P18" s="341">
        <v>0</v>
      </c>
      <c r="Q18" s="342">
        <v>1</v>
      </c>
      <c r="R18" s="343">
        <v>1</v>
      </c>
      <c r="S18" s="344">
        <v>0</v>
      </c>
      <c r="T18" s="260" t="s">
        <v>50</v>
      </c>
      <c r="U18" s="345" t="s">
        <v>51</v>
      </c>
      <c r="V18" s="347"/>
      <c r="W18" s="347"/>
      <c r="X18" s="347"/>
      <c r="Y18" s="347"/>
      <c r="Z18" s="347"/>
      <c r="AA18" s="347"/>
      <c r="AB18" s="347"/>
    </row>
    <row r="19" spans="2:28" ht="48" x14ac:dyDescent="0.35">
      <c r="B19" s="80" t="s">
        <v>43</v>
      </c>
      <c r="C19" s="256"/>
      <c r="D19" s="340">
        <v>28710.799999999999</v>
      </c>
      <c r="E19" s="341">
        <v>9391.245828503841</v>
      </c>
      <c r="F19" s="340">
        <v>5075.3976000000002</v>
      </c>
      <c r="G19" s="340" t="s">
        <v>37</v>
      </c>
      <c r="H19" s="340">
        <v>2330.0825931034483</v>
      </c>
      <c r="I19" s="340">
        <v>2330.0825931034483</v>
      </c>
      <c r="J19" s="340">
        <v>43177.443428503844</v>
      </c>
      <c r="K19" s="340">
        <v>56994.225325625077</v>
      </c>
      <c r="L19" s="340" t="s">
        <v>38</v>
      </c>
      <c r="M19" s="341">
        <v>189</v>
      </c>
      <c r="N19" s="341"/>
      <c r="O19" s="341" t="s">
        <v>122</v>
      </c>
      <c r="P19" s="341">
        <v>0</v>
      </c>
      <c r="Q19" s="342">
        <v>1</v>
      </c>
      <c r="R19" s="343">
        <v>1</v>
      </c>
      <c r="S19" s="344">
        <v>0</v>
      </c>
      <c r="T19" s="260" t="s">
        <v>50</v>
      </c>
      <c r="U19" s="345" t="s">
        <v>51</v>
      </c>
      <c r="V19" s="347"/>
      <c r="W19" s="347"/>
      <c r="X19" s="347"/>
      <c r="Y19" s="347"/>
      <c r="Z19" s="347"/>
      <c r="AA19" s="347"/>
      <c r="AB19" s="347"/>
    </row>
    <row r="20" spans="2:28" ht="48" x14ac:dyDescent="0.35">
      <c r="B20" s="80" t="s">
        <v>36</v>
      </c>
      <c r="C20" s="256"/>
      <c r="D20" s="340">
        <v>20242.479999999996</v>
      </c>
      <c r="E20" s="341">
        <v>3987.3947527749742</v>
      </c>
      <c r="F20" s="340">
        <v>2132.3251000000055</v>
      </c>
      <c r="G20" s="340" t="s">
        <v>37</v>
      </c>
      <c r="H20" s="340">
        <v>1543.0900068965518</v>
      </c>
      <c r="I20" s="340">
        <v>1543.0900068965518</v>
      </c>
      <c r="J20" s="340">
        <v>26362.199852774975</v>
      </c>
      <c r="K20" s="340">
        <v>34798.10380566297</v>
      </c>
      <c r="L20" s="340" t="s">
        <v>38</v>
      </c>
      <c r="M20" s="341">
        <v>189</v>
      </c>
      <c r="N20" s="341"/>
      <c r="O20" s="341" t="s">
        <v>123</v>
      </c>
      <c r="P20" s="341">
        <v>0</v>
      </c>
      <c r="Q20" s="342">
        <v>1</v>
      </c>
      <c r="R20" s="343">
        <v>1</v>
      </c>
      <c r="S20" s="344">
        <v>0</v>
      </c>
      <c r="T20" s="260" t="s">
        <v>40</v>
      </c>
      <c r="U20" s="345" t="s">
        <v>41</v>
      </c>
      <c r="V20" s="347"/>
      <c r="W20" s="347"/>
      <c r="X20" s="347"/>
      <c r="Y20" s="347"/>
      <c r="Z20" s="347"/>
      <c r="AA20" s="347"/>
      <c r="AB20" s="347"/>
    </row>
    <row r="21" spans="2:28" ht="48" x14ac:dyDescent="0.35">
      <c r="B21" s="80" t="s">
        <v>43</v>
      </c>
      <c r="C21" s="256"/>
      <c r="D21" s="340">
        <v>20206.819999999996</v>
      </c>
      <c r="E21" s="341">
        <v>3987.3947527749742</v>
      </c>
      <c r="F21" s="340">
        <v>1844.4027000000024</v>
      </c>
      <c r="G21" s="340" t="s">
        <v>37</v>
      </c>
      <c r="H21" s="340">
        <v>1520.7739793103447</v>
      </c>
      <c r="I21" s="340">
        <v>1520.7739793103447</v>
      </c>
      <c r="J21" s="340">
        <v>26038.617452774972</v>
      </c>
      <c r="K21" s="340">
        <v>34370.975037662967</v>
      </c>
      <c r="L21" s="340" t="s">
        <v>38</v>
      </c>
      <c r="M21" s="341">
        <v>189</v>
      </c>
      <c r="N21" s="341"/>
      <c r="O21" s="341" t="s">
        <v>124</v>
      </c>
      <c r="P21" s="341">
        <v>0</v>
      </c>
      <c r="Q21" s="342">
        <v>1</v>
      </c>
      <c r="R21" s="343">
        <v>1</v>
      </c>
      <c r="S21" s="344">
        <v>0</v>
      </c>
      <c r="T21" s="260" t="s">
        <v>40</v>
      </c>
      <c r="U21" s="345" t="s">
        <v>41</v>
      </c>
      <c r="V21" s="347"/>
      <c r="W21" s="347"/>
      <c r="X21" s="347"/>
      <c r="Y21" s="347"/>
      <c r="Z21" s="347"/>
      <c r="AA21" s="347"/>
      <c r="AB21" s="347"/>
    </row>
    <row r="22" spans="2:28" ht="48" x14ac:dyDescent="0.35">
      <c r="B22" s="80" t="s">
        <v>43</v>
      </c>
      <c r="C22" s="256"/>
      <c r="D22" s="340">
        <v>13542.550000000001</v>
      </c>
      <c r="E22" s="341">
        <v>9391.245828503841</v>
      </c>
      <c r="F22" s="340">
        <v>3196.1004999999986</v>
      </c>
      <c r="G22" s="340" t="s">
        <v>37</v>
      </c>
      <c r="H22" s="340">
        <v>1154.3896896551723</v>
      </c>
      <c r="I22" s="340">
        <v>1154.3896896551723</v>
      </c>
      <c r="J22" s="340">
        <v>26129.896328503841</v>
      </c>
      <c r="K22" s="340">
        <v>34491.463153625074</v>
      </c>
      <c r="L22" s="340" t="s">
        <v>38</v>
      </c>
      <c r="M22" s="341">
        <v>289</v>
      </c>
      <c r="N22" s="341"/>
      <c r="O22" s="341" t="s">
        <v>125</v>
      </c>
      <c r="P22" s="341">
        <v>0</v>
      </c>
      <c r="Q22" s="342">
        <v>0.5</v>
      </c>
      <c r="R22" s="343">
        <v>0.5</v>
      </c>
      <c r="S22" s="344">
        <v>0</v>
      </c>
      <c r="T22" s="260" t="s">
        <v>50</v>
      </c>
      <c r="U22" s="345" t="s">
        <v>78</v>
      </c>
      <c r="V22" s="347"/>
      <c r="W22" s="347"/>
      <c r="X22" s="347"/>
      <c r="Y22" s="347"/>
      <c r="Z22" s="347"/>
      <c r="AA22" s="347"/>
      <c r="AB22" s="347"/>
    </row>
    <row r="23" spans="2:28" ht="48" x14ac:dyDescent="0.35">
      <c r="B23" s="80" t="s">
        <v>43</v>
      </c>
      <c r="C23" s="256"/>
      <c r="D23" s="340">
        <v>8055.55</v>
      </c>
      <c r="E23" s="341">
        <v>2823.1609271523184</v>
      </c>
      <c r="F23" s="340">
        <v>2485.1404000000002</v>
      </c>
      <c r="G23" s="340" t="s">
        <v>37</v>
      </c>
      <c r="H23" s="340">
        <v>2795.9096827586209</v>
      </c>
      <c r="I23" s="340">
        <v>2795.9096827586209</v>
      </c>
      <c r="J23" s="340">
        <v>43363.851327152319</v>
      </c>
      <c r="K23" s="340">
        <v>57240.283751841067</v>
      </c>
      <c r="L23" s="340" t="s">
        <v>38</v>
      </c>
      <c r="M23" s="341">
        <v>540</v>
      </c>
      <c r="N23" s="341"/>
      <c r="O23" s="341" t="s">
        <v>126</v>
      </c>
      <c r="P23" s="341">
        <v>0</v>
      </c>
      <c r="Q23" s="342">
        <v>0.25</v>
      </c>
      <c r="R23" s="343">
        <v>0.25</v>
      </c>
      <c r="S23" s="344">
        <v>0</v>
      </c>
      <c r="T23" s="260" t="s">
        <v>127</v>
      </c>
      <c r="U23" s="345" t="s">
        <v>128</v>
      </c>
      <c r="V23" s="347"/>
      <c r="W23" s="347"/>
      <c r="X23" s="347"/>
      <c r="Y23" s="347"/>
      <c r="Z23" s="347"/>
      <c r="AA23" s="347"/>
      <c r="AB23" s="347"/>
    </row>
    <row r="24" spans="2:28" ht="48" x14ac:dyDescent="0.35">
      <c r="B24" s="80" t="s">
        <v>43</v>
      </c>
      <c r="C24" s="256"/>
      <c r="D24" s="340">
        <v>9034.4199999999983</v>
      </c>
      <c r="E24" s="341">
        <v>2325.6560294117644</v>
      </c>
      <c r="F24" s="340">
        <v>1353.6775000000016</v>
      </c>
      <c r="G24" s="340" t="s">
        <v>37</v>
      </c>
      <c r="H24" s="340">
        <v>716.42051724137934</v>
      </c>
      <c r="I24" s="340">
        <v>716.42051724137934</v>
      </c>
      <c r="J24" s="340">
        <v>12713.753529411764</v>
      </c>
      <c r="K24" s="340">
        <v>16782.154658823529</v>
      </c>
      <c r="L24" s="340" t="s">
        <v>38</v>
      </c>
      <c r="M24" s="341">
        <v>289</v>
      </c>
      <c r="N24" s="341"/>
      <c r="O24" s="341" t="s">
        <v>129</v>
      </c>
      <c r="P24" s="341">
        <v>0</v>
      </c>
      <c r="Q24" s="342">
        <v>0.5</v>
      </c>
      <c r="R24" s="343">
        <v>0.5</v>
      </c>
      <c r="S24" s="344">
        <v>0</v>
      </c>
      <c r="T24" s="260" t="s">
        <v>57</v>
      </c>
      <c r="U24" s="345" t="s">
        <v>58</v>
      </c>
      <c r="V24" s="347"/>
      <c r="W24" s="347"/>
      <c r="X24" s="347"/>
      <c r="Y24" s="347"/>
      <c r="Z24" s="347"/>
      <c r="AA24" s="347"/>
      <c r="AB24" s="347"/>
    </row>
    <row r="25" spans="2:28" ht="48" x14ac:dyDescent="0.35">
      <c r="B25" s="80" t="s">
        <v>36</v>
      </c>
      <c r="C25" s="256"/>
      <c r="D25" s="340">
        <v>19132.7</v>
      </c>
      <c r="E25" s="341">
        <v>3987.3947527749742</v>
      </c>
      <c r="F25" s="340">
        <v>1619.0180999999975</v>
      </c>
      <c r="G25" s="340" t="s">
        <v>37</v>
      </c>
      <c r="H25" s="340">
        <v>1431.1529724137929</v>
      </c>
      <c r="I25" s="340">
        <v>1431.1529724137929</v>
      </c>
      <c r="J25" s="340">
        <v>24739.112852774972</v>
      </c>
      <c r="K25" s="340">
        <v>32655.628965662963</v>
      </c>
      <c r="L25" s="340" t="s">
        <v>38</v>
      </c>
      <c r="M25" s="341">
        <v>100</v>
      </c>
      <c r="N25" s="341"/>
      <c r="O25" s="341" t="s">
        <v>130</v>
      </c>
      <c r="P25" s="341">
        <v>0</v>
      </c>
      <c r="Q25" s="342">
        <v>1</v>
      </c>
      <c r="R25" s="343">
        <v>1</v>
      </c>
      <c r="S25" s="344">
        <v>0</v>
      </c>
      <c r="T25" s="260" t="s">
        <v>40</v>
      </c>
      <c r="U25" s="345" t="s">
        <v>81</v>
      </c>
      <c r="V25" s="347"/>
      <c r="W25" s="347"/>
      <c r="X25" s="347"/>
      <c r="Y25" s="347"/>
      <c r="Z25" s="347"/>
      <c r="AA25" s="347"/>
      <c r="AB25" s="347"/>
    </row>
    <row r="26" spans="2:28" ht="48" x14ac:dyDescent="0.35">
      <c r="B26" s="80" t="s">
        <v>36</v>
      </c>
      <c r="C26" s="256"/>
      <c r="D26" s="340">
        <v>27278.13</v>
      </c>
      <c r="E26" s="341">
        <v>15.600000000000001</v>
      </c>
      <c r="F26" s="340">
        <v>2120.2989499999967</v>
      </c>
      <c r="G26" s="340" t="s">
        <v>37</v>
      </c>
      <c r="H26" s="340">
        <v>2027.4778586206894</v>
      </c>
      <c r="I26" s="340">
        <v>2027.4778586206894</v>
      </c>
      <c r="J26" s="340">
        <v>29414.028949999996</v>
      </c>
      <c r="K26" s="340">
        <v>38826.518213999996</v>
      </c>
      <c r="L26" s="340" t="s">
        <v>38</v>
      </c>
      <c r="M26" s="341">
        <v>100</v>
      </c>
      <c r="N26" s="341"/>
      <c r="O26" s="341" t="s">
        <v>131</v>
      </c>
      <c r="P26" s="341">
        <v>0</v>
      </c>
      <c r="Q26" s="342">
        <v>1</v>
      </c>
      <c r="R26" s="343">
        <v>1</v>
      </c>
      <c r="S26" s="344">
        <v>0</v>
      </c>
      <c r="T26" s="260" t="s">
        <v>132</v>
      </c>
      <c r="U26" s="345" t="s">
        <v>78</v>
      </c>
      <c r="V26" s="347"/>
      <c r="W26" s="347"/>
      <c r="X26" s="347"/>
      <c r="Y26" s="347"/>
      <c r="Z26" s="347"/>
      <c r="AA26" s="347"/>
      <c r="AB26" s="347"/>
    </row>
    <row r="27" spans="2:28" ht="48" x14ac:dyDescent="0.35">
      <c r="B27" s="80" t="s">
        <v>43</v>
      </c>
      <c r="C27" s="256"/>
      <c r="D27" s="340">
        <v>27278.13</v>
      </c>
      <c r="E27" s="341">
        <v>9391.245828503841</v>
      </c>
      <c r="F27" s="340">
        <v>4604.6094499999999</v>
      </c>
      <c r="G27" s="340" t="s">
        <v>37</v>
      </c>
      <c r="H27" s="340">
        <v>2198.8096172413793</v>
      </c>
      <c r="I27" s="340">
        <v>2198.8096172413793</v>
      </c>
      <c r="J27" s="340">
        <v>41273.985278503838</v>
      </c>
      <c r="K27" s="340">
        <v>54481.660567625069</v>
      </c>
      <c r="L27" s="340" t="s">
        <v>38</v>
      </c>
      <c r="M27" s="341">
        <v>100</v>
      </c>
      <c r="N27" s="341"/>
      <c r="O27" s="341" t="s">
        <v>133</v>
      </c>
      <c r="P27" s="341">
        <v>0</v>
      </c>
      <c r="Q27" s="342">
        <v>1</v>
      </c>
      <c r="R27" s="343">
        <v>1</v>
      </c>
      <c r="S27" s="344">
        <v>0</v>
      </c>
      <c r="T27" s="260" t="s">
        <v>50</v>
      </c>
      <c r="U27" s="345" t="s">
        <v>78</v>
      </c>
      <c r="V27" s="347"/>
      <c r="W27" s="347"/>
      <c r="X27" s="347"/>
      <c r="Y27" s="347"/>
      <c r="Z27" s="347"/>
      <c r="AA27" s="347"/>
      <c r="AB27" s="347"/>
    </row>
    <row r="28" spans="2:28" ht="48" x14ac:dyDescent="0.35">
      <c r="B28" s="80" t="s">
        <v>43</v>
      </c>
      <c r="C28" s="256"/>
      <c r="D28" s="340">
        <v>27261.430000000004</v>
      </c>
      <c r="E28" s="341">
        <v>9391.245828503841</v>
      </c>
      <c r="F28" s="340">
        <v>4604.0249499999954</v>
      </c>
      <c r="G28" s="340" t="s">
        <v>37</v>
      </c>
      <c r="H28" s="340">
        <v>2197.6175827586208</v>
      </c>
      <c r="I28" s="340">
        <v>2197.6175827586208</v>
      </c>
      <c r="J28" s="340">
        <v>41256.700778503844</v>
      </c>
      <c r="K28" s="340">
        <v>54458.845027625073</v>
      </c>
      <c r="L28" s="340" t="s">
        <v>38</v>
      </c>
      <c r="M28" s="341">
        <v>100</v>
      </c>
      <c r="N28" s="341"/>
      <c r="O28" s="341" t="s">
        <v>134</v>
      </c>
      <c r="P28" s="341">
        <v>0</v>
      </c>
      <c r="Q28" s="342">
        <v>1</v>
      </c>
      <c r="R28" s="343">
        <v>1</v>
      </c>
      <c r="S28" s="344">
        <v>0</v>
      </c>
      <c r="T28" s="260" t="s">
        <v>50</v>
      </c>
      <c r="U28" s="345" t="s">
        <v>78</v>
      </c>
      <c r="V28" s="347"/>
      <c r="W28" s="347"/>
      <c r="X28" s="347"/>
      <c r="Y28" s="347"/>
      <c r="Z28" s="347"/>
      <c r="AA28" s="347"/>
      <c r="AB28" s="347"/>
    </row>
    <row r="29" spans="2:28" ht="48" x14ac:dyDescent="0.35">
      <c r="B29" s="80" t="s">
        <v>43</v>
      </c>
      <c r="C29" s="256"/>
      <c r="D29" s="340">
        <v>16909.739999999998</v>
      </c>
      <c r="E29" s="341">
        <v>2091.9003529411771</v>
      </c>
      <c r="F29" s="340">
        <v>8706.0848000000005</v>
      </c>
      <c r="G29" s="340" t="s">
        <v>37</v>
      </c>
      <c r="H29" s="340">
        <v>1766.6086068965517</v>
      </c>
      <c r="I29" s="340">
        <v>1766.6086068965517</v>
      </c>
      <c r="J29" s="340">
        <v>27707.725152941177</v>
      </c>
      <c r="K29" s="340">
        <v>36574.197201882358</v>
      </c>
      <c r="L29" s="340" t="s">
        <v>38</v>
      </c>
      <c r="M29" s="341">
        <v>100</v>
      </c>
      <c r="N29" s="341"/>
      <c r="O29" s="341" t="s">
        <v>107</v>
      </c>
      <c r="P29" s="341">
        <v>0</v>
      </c>
      <c r="Q29" s="342">
        <v>1</v>
      </c>
      <c r="R29" s="343">
        <v>1</v>
      </c>
      <c r="S29" s="344">
        <v>0</v>
      </c>
      <c r="T29" s="260" t="s">
        <v>71</v>
      </c>
      <c r="U29" s="345" t="s">
        <v>76</v>
      </c>
      <c r="V29" s="347"/>
      <c r="W29" s="347"/>
      <c r="X29" s="347"/>
      <c r="Y29" s="347"/>
      <c r="Z29" s="347"/>
      <c r="AA29" s="347"/>
      <c r="AB29" s="347"/>
    </row>
    <row r="30" spans="2:28" ht="48" x14ac:dyDescent="0.35">
      <c r="B30" s="80" t="s">
        <v>43</v>
      </c>
      <c r="C30" s="256"/>
      <c r="D30" s="340">
        <v>27169.300000000003</v>
      </c>
      <c r="E30" s="341">
        <v>9391.245828503841</v>
      </c>
      <c r="F30" s="340">
        <v>6657.0763000000006</v>
      </c>
      <c r="G30" s="340" t="s">
        <v>37</v>
      </c>
      <c r="H30" s="340">
        <v>2332.8535379310347</v>
      </c>
      <c r="I30" s="340">
        <v>2332.8535379310347</v>
      </c>
      <c r="J30" s="340">
        <v>43217.622128503848</v>
      </c>
      <c r="K30" s="340">
        <v>57047.261209625081</v>
      </c>
      <c r="L30" s="340" t="s">
        <v>38</v>
      </c>
      <c r="M30" s="341">
        <v>100</v>
      </c>
      <c r="N30" s="341"/>
      <c r="O30" s="341" t="s">
        <v>135</v>
      </c>
      <c r="P30" s="341">
        <v>0</v>
      </c>
      <c r="Q30" s="342">
        <v>1</v>
      </c>
      <c r="R30" s="343">
        <v>1</v>
      </c>
      <c r="S30" s="344">
        <v>0</v>
      </c>
      <c r="T30" s="260" t="s">
        <v>50</v>
      </c>
      <c r="U30" s="345" t="s">
        <v>78</v>
      </c>
      <c r="V30" s="347"/>
      <c r="W30" s="347"/>
      <c r="X30" s="347"/>
      <c r="Y30" s="347"/>
      <c r="Z30" s="347"/>
      <c r="AA30" s="347"/>
      <c r="AB30" s="347"/>
    </row>
    <row r="31" spans="2:28" ht="48" x14ac:dyDescent="0.35">
      <c r="B31" s="80" t="s">
        <v>43</v>
      </c>
      <c r="C31" s="256"/>
      <c r="D31" s="340">
        <v>14518.029999999997</v>
      </c>
      <c r="E31" s="341">
        <v>11655.644303267974</v>
      </c>
      <c r="F31" s="340">
        <v>11886.13135</v>
      </c>
      <c r="G31" s="340" t="s">
        <v>37</v>
      </c>
      <c r="H31" s="340">
        <v>2441.6663000000003</v>
      </c>
      <c r="I31" s="340">
        <v>2441.6663000000003</v>
      </c>
      <c r="J31" s="340">
        <v>47059.805653267977</v>
      </c>
      <c r="K31" s="340">
        <v>62118.943462313735</v>
      </c>
      <c r="L31" s="340" t="s">
        <v>38</v>
      </c>
      <c r="M31" s="341">
        <v>200</v>
      </c>
      <c r="N31" s="341"/>
      <c r="O31" s="341" t="s">
        <v>136</v>
      </c>
      <c r="P31" s="341">
        <v>0</v>
      </c>
      <c r="Q31" s="342">
        <v>0.5</v>
      </c>
      <c r="R31" s="343">
        <v>0.5</v>
      </c>
      <c r="S31" s="344">
        <v>0</v>
      </c>
      <c r="T31" s="260" t="s">
        <v>61</v>
      </c>
      <c r="U31" s="345" t="s">
        <v>89</v>
      </c>
      <c r="V31" s="347"/>
      <c r="W31" s="347"/>
      <c r="X31" s="347"/>
      <c r="Y31" s="347"/>
      <c r="Z31" s="347"/>
      <c r="AA31" s="347"/>
      <c r="AB31" s="347"/>
    </row>
    <row r="32" spans="2:28" ht="48" x14ac:dyDescent="0.35">
      <c r="B32" s="80" t="s">
        <v>36</v>
      </c>
      <c r="C32" s="256"/>
      <c r="D32" s="340">
        <v>4641.7279999999992</v>
      </c>
      <c r="E32" s="341">
        <v>9750.1238241235915</v>
      </c>
      <c r="F32" s="340">
        <v>3595.2462000000014</v>
      </c>
      <c r="G32" s="340" t="s">
        <v>37</v>
      </c>
      <c r="H32" s="340">
        <v>568.06718620689662</v>
      </c>
      <c r="I32" s="340">
        <v>568.06718620689662</v>
      </c>
      <c r="J32" s="340">
        <v>17987.098024123592</v>
      </c>
      <c r="K32" s="340">
        <v>23742.969391843144</v>
      </c>
      <c r="L32" s="340" t="s">
        <v>38</v>
      </c>
      <c r="M32" s="341">
        <v>200</v>
      </c>
      <c r="N32" s="341"/>
      <c r="O32" s="341" t="s">
        <v>137</v>
      </c>
      <c r="P32" s="341">
        <v>0</v>
      </c>
      <c r="Q32" s="342">
        <v>0.16</v>
      </c>
      <c r="R32" s="343">
        <v>0.16</v>
      </c>
      <c r="S32" s="344">
        <v>0</v>
      </c>
      <c r="T32" s="260" t="s">
        <v>46</v>
      </c>
      <c r="U32" s="345" t="s">
        <v>89</v>
      </c>
      <c r="V32" s="347"/>
      <c r="W32" s="347"/>
      <c r="X32" s="347"/>
      <c r="Y32" s="347"/>
      <c r="Z32" s="347"/>
      <c r="AA32" s="347"/>
      <c r="AB32" s="347"/>
    </row>
    <row r="33" spans="1:30" ht="48" x14ac:dyDescent="0.35">
      <c r="B33" s="80" t="s">
        <v>43</v>
      </c>
      <c r="C33" s="256"/>
      <c r="D33" s="340">
        <v>27085.100000000002</v>
      </c>
      <c r="E33" s="341">
        <v>9391.245828503841</v>
      </c>
      <c r="F33" s="340">
        <v>4584.2328000000016</v>
      </c>
      <c r="G33" s="340" t="s">
        <v>37</v>
      </c>
      <c r="H33" s="340">
        <v>2184.0919172413796</v>
      </c>
      <c r="I33" s="340">
        <v>2184.0919172413796</v>
      </c>
      <c r="J33" s="340">
        <v>41060.578628503848</v>
      </c>
      <c r="K33" s="340">
        <v>54199.963789625086</v>
      </c>
      <c r="L33" s="340" t="s">
        <v>38</v>
      </c>
      <c r="M33" s="341">
        <v>100</v>
      </c>
      <c r="N33" s="341"/>
      <c r="O33" s="341" t="s">
        <v>138</v>
      </c>
      <c r="P33" s="341">
        <v>0</v>
      </c>
      <c r="Q33" s="342">
        <v>1</v>
      </c>
      <c r="R33" s="343">
        <v>1</v>
      </c>
      <c r="S33" s="344">
        <v>0</v>
      </c>
      <c r="T33" s="260" t="s">
        <v>50</v>
      </c>
      <c r="U33" s="345" t="s">
        <v>78</v>
      </c>
      <c r="V33" s="347"/>
      <c r="W33" s="347"/>
      <c r="X33" s="347"/>
      <c r="Y33" s="347"/>
      <c r="Z33" s="347"/>
      <c r="AA33" s="347"/>
      <c r="AB33" s="347"/>
    </row>
    <row r="34" spans="1:30" ht="48" x14ac:dyDescent="0.35">
      <c r="B34" s="80" t="s">
        <v>43</v>
      </c>
      <c r="C34" s="256"/>
      <c r="D34" s="340">
        <v>9432.08</v>
      </c>
      <c r="E34" s="341">
        <v>1619.8840465116282</v>
      </c>
      <c r="F34" s="340">
        <v>1279.4964000000018</v>
      </c>
      <c r="G34" s="340" t="s">
        <v>37</v>
      </c>
      <c r="H34" s="340">
        <v>738.72940689655184</v>
      </c>
      <c r="I34" s="340">
        <v>738.72940689655184</v>
      </c>
      <c r="J34" s="340">
        <v>12331.46044651163</v>
      </c>
      <c r="K34" s="340">
        <v>16277.527789395352</v>
      </c>
      <c r="L34" s="340" t="s">
        <v>38</v>
      </c>
      <c r="M34" s="341">
        <v>502</v>
      </c>
      <c r="N34" s="341"/>
      <c r="O34" s="341" t="s">
        <v>139</v>
      </c>
      <c r="P34" s="341" t="s">
        <v>140</v>
      </c>
      <c r="Q34" s="342">
        <v>0.5</v>
      </c>
      <c r="R34" s="343">
        <v>0.5</v>
      </c>
      <c r="S34" s="344" t="s">
        <v>140</v>
      </c>
      <c r="T34" s="260" t="s">
        <v>65</v>
      </c>
      <c r="U34" s="345" t="s">
        <v>81</v>
      </c>
      <c r="V34" s="347"/>
      <c r="W34" s="347"/>
      <c r="X34" s="347"/>
      <c r="Y34" s="347"/>
      <c r="Z34" s="347"/>
      <c r="AA34" s="347"/>
      <c r="AB34" s="347"/>
    </row>
    <row r="35" spans="1:30" ht="48" x14ac:dyDescent="0.35">
      <c r="B35" s="80" t="s">
        <v>43</v>
      </c>
      <c r="C35" s="256"/>
      <c r="D35" s="340">
        <v>30903.200000000001</v>
      </c>
      <c r="E35" s="341">
        <v>6756.0105777777781</v>
      </c>
      <c r="F35" s="340">
        <v>21222.799999999999</v>
      </c>
      <c r="G35" s="340" t="s">
        <v>37</v>
      </c>
      <c r="H35" s="340">
        <v>3594.8965517241381</v>
      </c>
      <c r="I35" s="340">
        <v>3594.8965517241381</v>
      </c>
      <c r="J35" s="340">
        <v>58882.010577777779</v>
      </c>
      <c r="K35" s="340">
        <v>76982.010577777779</v>
      </c>
      <c r="L35" s="340" t="s">
        <v>38</v>
      </c>
      <c r="M35" s="341">
        <v>100</v>
      </c>
      <c r="N35" s="341"/>
      <c r="O35" s="341" t="s">
        <v>141</v>
      </c>
      <c r="P35" s="341">
        <v>0</v>
      </c>
      <c r="Q35" s="342">
        <v>1</v>
      </c>
      <c r="R35" s="343">
        <v>1</v>
      </c>
      <c r="S35" s="79">
        <v>45443</v>
      </c>
      <c r="T35" s="260" t="s">
        <v>74</v>
      </c>
      <c r="U35" s="345" t="s">
        <v>89</v>
      </c>
      <c r="V35" s="347"/>
      <c r="W35" s="347"/>
      <c r="X35" s="347"/>
      <c r="Y35" s="347"/>
      <c r="Z35" s="347"/>
      <c r="AA35" s="347"/>
      <c r="AB35" s="347"/>
    </row>
    <row r="36" spans="1:30" ht="48" x14ac:dyDescent="0.35">
      <c r="A36" s="58"/>
      <c r="B36" s="80" t="s">
        <v>43</v>
      </c>
      <c r="C36" s="256"/>
      <c r="D36" s="340">
        <v>29366.54</v>
      </c>
      <c r="E36" s="341"/>
      <c r="F36" s="340">
        <v>2301.739999999998</v>
      </c>
      <c r="G36" s="340" t="s">
        <v>37</v>
      </c>
      <c r="H36" s="340">
        <v>2083.4499999999998</v>
      </c>
      <c r="I36" s="340">
        <v>2083.4499999999998</v>
      </c>
      <c r="J36" s="340">
        <v>31668.28</v>
      </c>
      <c r="K36" s="340">
        <v>41802.1296</v>
      </c>
      <c r="L36" s="340" t="s">
        <v>38</v>
      </c>
      <c r="M36" s="341">
        <v>100</v>
      </c>
      <c r="N36" s="80"/>
      <c r="O36" s="341" t="s">
        <v>236</v>
      </c>
      <c r="P36" s="164"/>
      <c r="Q36" s="343">
        <v>1</v>
      </c>
      <c r="R36" s="343">
        <v>1</v>
      </c>
      <c r="S36" s="164"/>
      <c r="T36" s="260" t="s">
        <v>103</v>
      </c>
      <c r="U36" s="345" t="s">
        <v>51</v>
      </c>
      <c r="V36" s="346"/>
      <c r="W36" s="346"/>
      <c r="X36" s="346"/>
      <c r="Y36" s="346"/>
      <c r="Z36" s="346"/>
      <c r="AA36" s="346"/>
      <c r="AB36" s="346"/>
    </row>
    <row r="37" spans="1:30" s="20" customFormat="1" ht="12" x14ac:dyDescent="0.3">
      <c r="B37" s="346"/>
      <c r="C37" s="346"/>
      <c r="D37" s="346"/>
      <c r="E37" s="346"/>
      <c r="F37" s="346"/>
      <c r="G37" s="346"/>
      <c r="H37" s="346"/>
      <c r="I37" s="346"/>
      <c r="J37" s="346"/>
      <c r="K37" s="346"/>
      <c r="L37" s="346"/>
      <c r="M37" s="346"/>
      <c r="N37" s="346"/>
      <c r="O37" s="346"/>
      <c r="P37" s="346"/>
      <c r="Q37" s="346"/>
      <c r="R37" s="346"/>
      <c r="S37" s="346"/>
      <c r="T37" s="346"/>
      <c r="U37" s="346"/>
      <c r="V37" s="346"/>
      <c r="W37" s="348"/>
      <c r="X37" s="346"/>
      <c r="Y37" s="346"/>
      <c r="Z37" s="346"/>
      <c r="AA37" s="346"/>
      <c r="AB37" s="346"/>
    </row>
    <row r="38" spans="1:30" s="20" customFormat="1" ht="12" x14ac:dyDescent="0.3">
      <c r="W38" s="34"/>
    </row>
    <row r="39" spans="1:30" s="20" customFormat="1" ht="19" thickBot="1" x14ac:dyDescent="0.5">
      <c r="B39" s="18" t="s">
        <v>17</v>
      </c>
      <c r="C39" s="1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</row>
    <row r="40" spans="1:30" s="20" customFormat="1" ht="32" thickBot="1" x14ac:dyDescent="0.35">
      <c r="B40" s="2" t="s">
        <v>344</v>
      </c>
      <c r="C40" s="2" t="s">
        <v>2</v>
      </c>
      <c r="D40" s="2" t="s">
        <v>21</v>
      </c>
      <c r="E40" s="2" t="s">
        <v>1</v>
      </c>
      <c r="F40" s="2" t="s">
        <v>22</v>
      </c>
      <c r="G40" s="2" t="s">
        <v>14</v>
      </c>
      <c r="H40" s="2" t="s">
        <v>18</v>
      </c>
      <c r="I40" s="2" t="s">
        <v>15</v>
      </c>
      <c r="J40" s="2" t="s">
        <v>10</v>
      </c>
      <c r="K40" s="2" t="s">
        <v>23</v>
      </c>
      <c r="L40" s="2" t="s">
        <v>16</v>
      </c>
      <c r="M40" s="2" t="s">
        <v>3</v>
      </c>
      <c r="N40" s="2" t="s">
        <v>11</v>
      </c>
      <c r="O40" s="2" t="s">
        <v>4</v>
      </c>
      <c r="P40" s="2" t="s">
        <v>5</v>
      </c>
      <c r="Q40" s="2" t="s">
        <v>24</v>
      </c>
      <c r="R40" s="2" t="s">
        <v>25</v>
      </c>
      <c r="S40" s="2" t="s">
        <v>26</v>
      </c>
      <c r="T40" s="2" t="s">
        <v>27</v>
      </c>
      <c r="U40" s="2" t="s">
        <v>6</v>
      </c>
      <c r="V40" s="2" t="s">
        <v>7</v>
      </c>
      <c r="W40" s="2" t="s">
        <v>28</v>
      </c>
      <c r="X40" s="2" t="s">
        <v>29</v>
      </c>
      <c r="Y40" s="2" t="s">
        <v>30</v>
      </c>
      <c r="Z40" s="2" t="s">
        <v>31</v>
      </c>
      <c r="AA40" s="3" t="s">
        <v>8</v>
      </c>
      <c r="AB40" s="3" t="s">
        <v>9</v>
      </c>
    </row>
    <row r="41" spans="1:30" s="20" customFormat="1" x14ac:dyDescent="0.35">
      <c r="B41" s="4"/>
      <c r="C41" s="35"/>
      <c r="D41" s="12">
        <v>30903.200000000001</v>
      </c>
      <c r="E41" s="32">
        <v>6756.0105777777781</v>
      </c>
      <c r="F41" s="5">
        <v>8561</v>
      </c>
      <c r="G41" s="5"/>
      <c r="H41" s="5">
        <v>2564</v>
      </c>
      <c r="I41" s="5">
        <v>2564</v>
      </c>
      <c r="J41" s="5">
        <f>F41+E41+D41</f>
        <v>46220.210577777776</v>
      </c>
      <c r="K41" s="5">
        <f>J41*1.32</f>
        <v>61010.677962666668</v>
      </c>
      <c r="L41" s="12" t="s">
        <v>38</v>
      </c>
      <c r="M41" s="4">
        <v>100</v>
      </c>
      <c r="N41" s="4"/>
      <c r="O41" s="41" t="s">
        <v>142</v>
      </c>
      <c r="P41" s="7"/>
      <c r="Q41" s="33">
        <v>1</v>
      </c>
      <c r="R41" s="8"/>
      <c r="S41" s="8"/>
      <c r="T41" s="9"/>
      <c r="U41" s="9">
        <v>2.2000000000000002</v>
      </c>
      <c r="V41" s="10"/>
      <c r="W41" s="36"/>
      <c r="X41" s="36" t="s">
        <v>0</v>
      </c>
      <c r="Y41" s="36"/>
      <c r="Z41" s="36"/>
      <c r="AA41" s="36"/>
      <c r="AB41" s="36"/>
    </row>
    <row r="42" spans="1:30" s="20" customFormat="1" x14ac:dyDescent="0.3">
      <c r="B42" s="4"/>
      <c r="C42" s="31"/>
      <c r="D42" s="5"/>
      <c r="E42" s="5"/>
      <c r="F42" s="5"/>
      <c r="G42" s="5"/>
      <c r="H42" s="5"/>
      <c r="I42" s="5"/>
      <c r="J42" s="5"/>
      <c r="K42" s="5"/>
      <c r="L42" s="4"/>
      <c r="M42" s="4"/>
      <c r="N42" s="4"/>
      <c r="O42" s="6"/>
      <c r="P42" s="7"/>
      <c r="Q42" s="8"/>
      <c r="R42" s="8"/>
      <c r="S42" s="8"/>
      <c r="T42" s="9"/>
      <c r="U42" s="9"/>
      <c r="V42" s="10"/>
      <c r="W42" s="36"/>
      <c r="X42" s="36"/>
      <c r="Y42" s="36"/>
      <c r="Z42" s="36"/>
      <c r="AA42" s="36"/>
      <c r="AB42" s="36"/>
    </row>
    <row r="43" spans="1:30" s="20" customFormat="1" x14ac:dyDescent="0.3">
      <c r="B43" s="4"/>
      <c r="C43" s="31"/>
      <c r="D43" s="5"/>
      <c r="E43" s="5"/>
      <c r="F43" s="5"/>
      <c r="G43" s="5"/>
      <c r="H43" s="5"/>
      <c r="I43" s="5"/>
      <c r="J43" s="5"/>
      <c r="K43" s="5"/>
      <c r="L43" s="4"/>
      <c r="M43" s="4"/>
      <c r="N43" s="4"/>
      <c r="O43" s="6"/>
      <c r="P43" s="7"/>
      <c r="Q43" s="8"/>
      <c r="R43" s="8"/>
      <c r="S43" s="8"/>
      <c r="T43" s="9"/>
      <c r="U43" s="9"/>
      <c r="V43" s="10"/>
      <c r="W43" s="36"/>
      <c r="X43" s="36"/>
      <c r="Y43" s="36"/>
      <c r="Z43" s="36"/>
      <c r="AA43" s="36"/>
      <c r="AB43" s="36"/>
    </row>
    <row r="44" spans="1:30" s="20" customFormat="1" x14ac:dyDescent="0.3">
      <c r="B44" s="11"/>
      <c r="C44" s="31"/>
      <c r="D44" s="12"/>
      <c r="E44" s="12"/>
      <c r="F44" s="12"/>
      <c r="G44" s="12"/>
      <c r="H44" s="12"/>
      <c r="I44" s="12"/>
      <c r="J44" s="12"/>
      <c r="K44" s="12"/>
      <c r="L44" s="11"/>
      <c r="M44" s="11"/>
      <c r="N44" s="11"/>
      <c r="O44" s="37"/>
      <c r="P44" s="13"/>
      <c r="Q44" s="14"/>
      <c r="R44" s="14"/>
      <c r="S44" s="14"/>
      <c r="T44" s="38"/>
      <c r="U44" s="38"/>
      <c r="V44" s="15"/>
      <c r="W44" s="39"/>
      <c r="X44" s="39"/>
      <c r="Y44" s="39"/>
      <c r="Z44" s="39"/>
      <c r="AA44" s="39"/>
      <c r="AB44" s="39"/>
    </row>
    <row r="45" spans="1:30" s="20" customFormat="1" x14ac:dyDescent="0.3">
      <c r="B45" s="11"/>
      <c r="C45" s="31"/>
      <c r="D45" s="12"/>
      <c r="E45" s="12"/>
      <c r="F45" s="12"/>
      <c r="G45" s="12"/>
      <c r="H45" s="12"/>
      <c r="I45" s="12"/>
      <c r="J45" s="12"/>
      <c r="K45" s="12"/>
      <c r="L45" s="11"/>
      <c r="M45" s="11"/>
      <c r="N45" s="11"/>
      <c r="O45" s="37"/>
      <c r="P45" s="13"/>
      <c r="Q45" s="14"/>
      <c r="R45" s="14"/>
      <c r="S45" s="14"/>
      <c r="T45" s="38"/>
      <c r="U45" s="38"/>
      <c r="V45" s="16"/>
      <c r="W45" s="39"/>
      <c r="X45" s="39"/>
      <c r="Y45" s="39"/>
      <c r="Z45" s="39"/>
      <c r="AA45" s="39"/>
      <c r="AB45" s="39"/>
    </row>
    <row r="46" spans="1:30" s="20" customFormat="1" x14ac:dyDescent="0.3">
      <c r="B46" s="11"/>
      <c r="C46" s="31"/>
      <c r="D46" s="12"/>
      <c r="E46" s="12"/>
      <c r="F46" s="12"/>
      <c r="G46" s="12"/>
      <c r="H46" s="12"/>
      <c r="I46" s="12"/>
      <c r="J46" s="12"/>
      <c r="K46" s="12"/>
      <c r="L46" s="11"/>
      <c r="M46" s="11"/>
      <c r="N46" s="11"/>
      <c r="O46" s="37"/>
      <c r="P46" s="13"/>
      <c r="Q46" s="14"/>
      <c r="R46" s="14"/>
      <c r="S46" s="14"/>
      <c r="T46" s="38"/>
      <c r="U46" s="38"/>
      <c r="V46" s="16"/>
      <c r="W46" s="39"/>
      <c r="X46" s="39"/>
      <c r="Y46" s="39"/>
      <c r="Z46" s="39"/>
      <c r="AA46" s="39"/>
      <c r="AB46" s="39"/>
    </row>
    <row r="47" spans="1:30" s="20" customFormat="1" ht="12" x14ac:dyDescent="0.3">
      <c r="W47" s="34"/>
    </row>
    <row r="48" spans="1:30" s="20" customFormat="1" ht="12" x14ac:dyDescent="0.3">
      <c r="W48" s="34"/>
    </row>
    <row r="49" spans="23:37" s="20" customFormat="1" ht="12" x14ac:dyDescent="0.3">
      <c r="W49" s="34"/>
    </row>
    <row r="50" spans="23:37" s="20" customFormat="1" ht="12" x14ac:dyDescent="0.3">
      <c r="W50" s="34"/>
    </row>
    <row r="51" spans="23:37" s="20" customFormat="1" ht="12" x14ac:dyDescent="0.3">
      <c r="W51" s="34"/>
    </row>
    <row r="52" spans="23:37" s="20" customFormat="1" ht="12" x14ac:dyDescent="0.3">
      <c r="W52" s="34"/>
    </row>
    <row r="53" spans="23:37" s="20" customFormat="1" ht="12" x14ac:dyDescent="0.3">
      <c r="W53" s="34"/>
    </row>
    <row r="54" spans="23:37" s="20" customFormat="1" ht="12" x14ac:dyDescent="0.3">
      <c r="W54" s="34"/>
    </row>
    <row r="55" spans="23:37" s="20" customFormat="1" ht="12" x14ac:dyDescent="0.3">
      <c r="W55" s="34"/>
    </row>
    <row r="56" spans="23:37" s="20" customFormat="1" ht="12" x14ac:dyDescent="0.3">
      <c r="W56" s="34"/>
    </row>
    <row r="57" spans="23:37" s="20" customFormat="1" x14ac:dyDescent="0.35">
      <c r="W57" s="34"/>
      <c r="AG57"/>
      <c r="AH57"/>
      <c r="AI57"/>
      <c r="AJ57"/>
      <c r="AK57"/>
    </row>
    <row r="58" spans="23:37" s="20" customFormat="1" x14ac:dyDescent="0.35">
      <c r="W58" s="34"/>
      <c r="AG58"/>
      <c r="AH58"/>
      <c r="AI58"/>
      <c r="AJ58"/>
      <c r="AK58"/>
    </row>
    <row r="59" spans="23:37" s="20" customFormat="1" x14ac:dyDescent="0.35">
      <c r="W59" s="34"/>
      <c r="AG59"/>
      <c r="AH59"/>
      <c r="AI59"/>
      <c r="AJ59"/>
      <c r="AK59"/>
    </row>
    <row r="60" spans="23:37" s="20" customFormat="1" x14ac:dyDescent="0.35">
      <c r="W60" s="34"/>
      <c r="AG60"/>
      <c r="AH60"/>
      <c r="AI60"/>
      <c r="AJ60"/>
      <c r="AK60"/>
    </row>
  </sheetData>
  <autoFilter ref="B9:AD36"/>
  <mergeCells count="3">
    <mergeCell ref="C4:E4"/>
    <mergeCell ref="C5:D5"/>
    <mergeCell ref="C6:E6"/>
  </mergeCells>
  <pageMargins left="0.7" right="0.7" top="0.75" bottom="0.75" header="0.3" footer="0.3"/>
  <pageSetup paperSize="9" scale="3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67"/>
  <sheetViews>
    <sheetView zoomScaleNormal="100" workbookViewId="0">
      <selection activeCell="B2" sqref="B2:AB52"/>
    </sheetView>
  </sheetViews>
  <sheetFormatPr defaultColWidth="11.453125" defaultRowHeight="14.5" x14ac:dyDescent="0.35"/>
  <cols>
    <col min="1" max="1" width="6.81640625" customWidth="1"/>
    <col min="2" max="2" width="18.7265625" style="20" customWidth="1"/>
    <col min="3" max="3" width="13.54296875" customWidth="1"/>
    <col min="4" max="4" width="13.54296875" style="20" customWidth="1"/>
    <col min="5" max="6" width="25.54296875" customWidth="1"/>
    <col min="7" max="7" width="24.1796875" customWidth="1"/>
    <col min="8" max="8" width="13.453125" customWidth="1"/>
    <col min="9" max="9" width="10.54296875" customWidth="1"/>
    <col min="10" max="10" width="13.453125" customWidth="1"/>
    <col min="11" max="11" width="17" customWidth="1"/>
    <col min="12" max="12" width="15" customWidth="1"/>
    <col min="13" max="13" width="12" bestFit="1" customWidth="1"/>
    <col min="14" max="14" width="13.1796875" customWidth="1"/>
    <col min="15" max="15" width="25.54296875" customWidth="1"/>
    <col min="16" max="16" width="18.81640625" customWidth="1"/>
    <col min="17" max="17" width="19.54296875" customWidth="1"/>
    <col min="18" max="18" width="15.453125" customWidth="1"/>
    <col min="19" max="22" width="25.54296875" customWidth="1"/>
    <col min="23" max="23" width="14.1796875" style="21" customWidth="1"/>
    <col min="24" max="24" width="17.453125" customWidth="1"/>
    <col min="25" max="25" width="18.54296875" customWidth="1"/>
    <col min="26" max="26" width="19.7265625" customWidth="1"/>
    <col min="27" max="27" width="17.26953125" customWidth="1"/>
    <col min="28" max="28" width="21" customWidth="1"/>
    <col min="29" max="30" width="25.54296875" customWidth="1"/>
  </cols>
  <sheetData>
    <row r="2" spans="2:31" ht="18.5" x14ac:dyDescent="0.45">
      <c r="B2" s="18" t="s">
        <v>13</v>
      </c>
      <c r="C2" s="1"/>
    </row>
    <row r="3" spans="2:31" x14ac:dyDescent="0.35">
      <c r="B3" s="22"/>
      <c r="C3" s="23"/>
      <c r="F3" s="23"/>
      <c r="Q3" s="23"/>
      <c r="R3" s="23"/>
      <c r="S3" s="23"/>
    </row>
    <row r="4" spans="2:31" ht="15.5" x14ac:dyDescent="0.35">
      <c r="B4" s="24" t="s">
        <v>12</v>
      </c>
      <c r="C4" s="423" t="s">
        <v>33</v>
      </c>
      <c r="D4" s="424"/>
      <c r="E4" s="428"/>
      <c r="Q4" s="23"/>
      <c r="R4" s="23"/>
      <c r="S4" s="23"/>
    </row>
    <row r="5" spans="2:31" ht="15.5" x14ac:dyDescent="0.35">
      <c r="B5" s="24" t="s">
        <v>20</v>
      </c>
      <c r="C5" s="423" t="s">
        <v>143</v>
      </c>
      <c r="D5" s="424" t="s">
        <v>34</v>
      </c>
      <c r="E5" s="49"/>
      <c r="Q5" s="23"/>
      <c r="R5" s="23"/>
      <c r="S5" s="23"/>
    </row>
    <row r="6" spans="2:31" ht="15.5" x14ac:dyDescent="0.35">
      <c r="B6" s="25" t="s">
        <v>19</v>
      </c>
      <c r="C6" s="423" t="s">
        <v>144</v>
      </c>
      <c r="D6" s="424"/>
      <c r="E6" s="49"/>
      <c r="Q6" s="23"/>
      <c r="R6" s="23"/>
      <c r="S6" s="23"/>
    </row>
    <row r="7" spans="2:31" ht="15.5" x14ac:dyDescent="0.35">
      <c r="B7" s="24" t="s">
        <v>32</v>
      </c>
      <c r="C7" s="47">
        <v>45629</v>
      </c>
      <c r="D7" s="48"/>
      <c r="E7" s="50"/>
    </row>
    <row r="8" spans="2:31" x14ac:dyDescent="0.35">
      <c r="B8" s="29"/>
      <c r="G8" s="27"/>
      <c r="N8" s="26"/>
      <c r="O8" s="30"/>
      <c r="P8" s="26"/>
      <c r="Q8" s="28"/>
    </row>
    <row r="9" spans="2:31" ht="33.75" customHeight="1" x14ac:dyDescent="0.35">
      <c r="B9" s="349" t="s">
        <v>344</v>
      </c>
      <c r="C9" s="349" t="s">
        <v>2</v>
      </c>
      <c r="D9" s="349" t="s">
        <v>21</v>
      </c>
      <c r="E9" s="349" t="s">
        <v>1</v>
      </c>
      <c r="F9" s="349" t="s">
        <v>22</v>
      </c>
      <c r="G9" s="349" t="s">
        <v>14</v>
      </c>
      <c r="H9" s="349" t="s">
        <v>18</v>
      </c>
      <c r="I9" s="349" t="s">
        <v>15</v>
      </c>
      <c r="J9" s="349" t="s">
        <v>10</v>
      </c>
      <c r="K9" s="349" t="s">
        <v>23</v>
      </c>
      <c r="L9" s="349" t="s">
        <v>16</v>
      </c>
      <c r="M9" s="349" t="s">
        <v>3</v>
      </c>
      <c r="N9" s="349" t="s">
        <v>11</v>
      </c>
      <c r="O9" s="349" t="s">
        <v>4</v>
      </c>
      <c r="P9" s="349" t="s">
        <v>5</v>
      </c>
      <c r="Q9" s="349" t="s">
        <v>24</v>
      </c>
      <c r="R9" s="349" t="s">
        <v>25</v>
      </c>
      <c r="S9" s="349" t="s">
        <v>26</v>
      </c>
      <c r="T9" s="349" t="s">
        <v>27</v>
      </c>
      <c r="U9" s="349" t="s">
        <v>6</v>
      </c>
      <c r="V9" s="349" t="s">
        <v>7</v>
      </c>
      <c r="W9" s="349" t="s">
        <v>28</v>
      </c>
      <c r="X9" s="349" t="s">
        <v>29</v>
      </c>
      <c r="Y9" s="349" t="s">
        <v>30</v>
      </c>
      <c r="Z9" s="349" t="s">
        <v>31</v>
      </c>
      <c r="AA9" s="349" t="s">
        <v>8</v>
      </c>
      <c r="AB9" s="349" t="s">
        <v>9</v>
      </c>
      <c r="AC9" s="350"/>
      <c r="AD9" s="350"/>
      <c r="AE9" s="350"/>
    </row>
    <row r="10" spans="2:31" ht="36" x14ac:dyDescent="0.35">
      <c r="B10" s="11" t="s">
        <v>43</v>
      </c>
      <c r="C10" s="31"/>
      <c r="D10" s="316">
        <v>29154.579999999998</v>
      </c>
      <c r="E10" s="393">
        <v>9391.245828503841</v>
      </c>
      <c r="F10" s="316">
        <v>4040.4200000000019</v>
      </c>
      <c r="G10" s="340" t="s">
        <v>37</v>
      </c>
      <c r="H10" s="316">
        <v>2289.3103448275861</v>
      </c>
      <c r="I10" s="316">
        <v>2289.3103448275861</v>
      </c>
      <c r="J10" s="316">
        <v>37108.019095209936</v>
      </c>
      <c r="K10" s="316">
        <v>48982.585205677118</v>
      </c>
      <c r="L10" s="340" t="s">
        <v>38</v>
      </c>
      <c r="M10" s="393">
        <v>100</v>
      </c>
      <c r="N10" s="11"/>
      <c r="O10" s="393" t="s">
        <v>145</v>
      </c>
      <c r="P10" s="357">
        <v>45443</v>
      </c>
      <c r="Q10" s="397">
        <v>1</v>
      </c>
      <c r="R10" s="394">
        <v>1</v>
      </c>
      <c r="S10" s="357">
        <v>45443</v>
      </c>
      <c r="T10" s="13" t="s">
        <v>50</v>
      </c>
      <c r="U10" s="395" t="s">
        <v>51</v>
      </c>
      <c r="V10" s="80" t="s">
        <v>146</v>
      </c>
      <c r="W10" s="39"/>
      <c r="X10" s="39"/>
      <c r="Y10" s="39"/>
      <c r="Z10" s="39"/>
      <c r="AA10" s="39"/>
      <c r="AB10" s="39"/>
    </row>
    <row r="11" spans="2:31" ht="36" x14ac:dyDescent="0.35">
      <c r="B11" s="11" t="s">
        <v>36</v>
      </c>
      <c r="C11" s="31"/>
      <c r="D11" s="316">
        <v>29224.579999999998</v>
      </c>
      <c r="E11" s="393">
        <v>9391.245828503841</v>
      </c>
      <c r="F11" s="316">
        <v>3970.4200000000019</v>
      </c>
      <c r="G11" s="340" t="s">
        <v>37</v>
      </c>
      <c r="H11" s="316">
        <v>2289.3103448275861</v>
      </c>
      <c r="I11" s="316">
        <v>2289.3103448275861</v>
      </c>
      <c r="J11" s="316">
        <v>37108.019095209936</v>
      </c>
      <c r="K11" s="316">
        <v>48982.585205677118</v>
      </c>
      <c r="L11" s="340" t="s">
        <v>38</v>
      </c>
      <c r="M11" s="393">
        <v>100</v>
      </c>
      <c r="N11" s="11"/>
      <c r="O11" s="393" t="s">
        <v>145</v>
      </c>
      <c r="P11" s="357">
        <v>45435</v>
      </c>
      <c r="Q11" s="397">
        <v>1</v>
      </c>
      <c r="R11" s="394">
        <v>1</v>
      </c>
      <c r="S11" s="357">
        <v>45435</v>
      </c>
      <c r="T11" s="13" t="s">
        <v>50</v>
      </c>
      <c r="U11" s="395" t="s">
        <v>51</v>
      </c>
      <c r="V11" s="80" t="s">
        <v>146</v>
      </c>
      <c r="W11" s="39"/>
      <c r="X11" s="39"/>
      <c r="Y11" s="39"/>
      <c r="Z11" s="39"/>
      <c r="AA11" s="39"/>
      <c r="AB11" s="39"/>
    </row>
    <row r="12" spans="2:31" ht="36" x14ac:dyDescent="0.35">
      <c r="B12" s="11" t="s">
        <v>43</v>
      </c>
      <c r="C12" s="31"/>
      <c r="D12" s="316">
        <v>30148.579999999998</v>
      </c>
      <c r="E12" s="393">
        <v>9391.245828503841</v>
      </c>
      <c r="F12" s="316">
        <v>3046.4200000000019</v>
      </c>
      <c r="G12" s="340" t="s">
        <v>37</v>
      </c>
      <c r="H12" s="316">
        <v>2289.3103448275861</v>
      </c>
      <c r="I12" s="316">
        <v>2289.3103448275861</v>
      </c>
      <c r="J12" s="316">
        <v>37108.019095209936</v>
      </c>
      <c r="K12" s="316">
        <v>48982.585205677118</v>
      </c>
      <c r="L12" s="340" t="s">
        <v>38</v>
      </c>
      <c r="M12" s="393">
        <v>100</v>
      </c>
      <c r="N12" s="11"/>
      <c r="O12" s="393" t="s">
        <v>147</v>
      </c>
      <c r="P12" s="357">
        <v>45422</v>
      </c>
      <c r="Q12" s="397">
        <v>1</v>
      </c>
      <c r="R12" s="394">
        <v>1</v>
      </c>
      <c r="S12" s="357">
        <v>45422</v>
      </c>
      <c r="T12" s="13" t="s">
        <v>50</v>
      </c>
      <c r="U12" s="395" t="s">
        <v>51</v>
      </c>
      <c r="V12" s="80" t="s">
        <v>146</v>
      </c>
      <c r="W12" s="39"/>
      <c r="X12" s="39"/>
      <c r="Y12" s="39"/>
      <c r="Z12" s="39"/>
      <c r="AA12" s="39"/>
      <c r="AB12" s="39"/>
    </row>
    <row r="13" spans="2:31" ht="36" x14ac:dyDescent="0.35">
      <c r="B13" s="11" t="s">
        <v>43</v>
      </c>
      <c r="C13" s="31"/>
      <c r="D13" s="316">
        <v>29702.46</v>
      </c>
      <c r="E13" s="393">
        <v>2961.4411162790702</v>
      </c>
      <c r="F13" s="316">
        <v>18866.435599999997</v>
      </c>
      <c r="G13" s="340" t="s">
        <v>37</v>
      </c>
      <c r="H13" s="316">
        <v>3349.5790068965516</v>
      </c>
      <c r="I13" s="316">
        <v>3349.5790068965516</v>
      </c>
      <c r="J13" s="316">
        <v>51530.336716279067</v>
      </c>
      <c r="K13" s="316">
        <v>68020.044465488376</v>
      </c>
      <c r="L13" s="340" t="s">
        <v>38</v>
      </c>
      <c r="M13" s="393">
        <v>100</v>
      </c>
      <c r="N13" s="39"/>
      <c r="O13" s="393" t="s">
        <v>148</v>
      </c>
      <c r="P13" s="393">
        <v>0</v>
      </c>
      <c r="Q13" s="397">
        <v>1</v>
      </c>
      <c r="R13" s="394">
        <v>1</v>
      </c>
      <c r="S13" s="398">
        <v>0</v>
      </c>
      <c r="T13" s="13" t="s">
        <v>68</v>
      </c>
      <c r="U13" s="395" t="s">
        <v>51</v>
      </c>
      <c r="V13" s="80" t="s">
        <v>146</v>
      </c>
      <c r="W13" s="39"/>
      <c r="X13" s="39"/>
      <c r="Y13" s="39"/>
      <c r="Z13" s="39"/>
      <c r="AA13" s="39"/>
      <c r="AB13" s="39"/>
    </row>
    <row r="14" spans="2:31" ht="36" x14ac:dyDescent="0.35">
      <c r="B14" s="11" t="s">
        <v>43</v>
      </c>
      <c r="C14" s="31"/>
      <c r="D14" s="316">
        <v>20527.78</v>
      </c>
      <c r="E14" s="393">
        <v>3987.3947527749742</v>
      </c>
      <c r="F14" s="316">
        <v>2135.2519000000029</v>
      </c>
      <c r="G14" s="340" t="s">
        <v>37</v>
      </c>
      <c r="H14" s="316">
        <v>1562.9677172413794</v>
      </c>
      <c r="I14" s="316">
        <v>1562.9677172413794</v>
      </c>
      <c r="J14" s="316">
        <v>26650.426652774975</v>
      </c>
      <c r="K14" s="316">
        <v>35178.563181662968</v>
      </c>
      <c r="L14" s="340" t="s">
        <v>38</v>
      </c>
      <c r="M14" s="393">
        <v>189</v>
      </c>
      <c r="N14" s="39"/>
      <c r="O14" s="393" t="s">
        <v>93</v>
      </c>
      <c r="P14" s="393">
        <v>0</v>
      </c>
      <c r="Q14" s="397">
        <v>1</v>
      </c>
      <c r="R14" s="394">
        <v>1</v>
      </c>
      <c r="S14" s="398">
        <v>0</v>
      </c>
      <c r="T14" s="13" t="s">
        <v>40</v>
      </c>
      <c r="U14" s="395" t="s">
        <v>41</v>
      </c>
      <c r="V14" s="80" t="s">
        <v>146</v>
      </c>
      <c r="W14" s="39"/>
      <c r="X14" s="39"/>
      <c r="Y14" s="39"/>
      <c r="Z14" s="39"/>
      <c r="AA14" s="39"/>
      <c r="AB14" s="39"/>
    </row>
    <row r="15" spans="2:31" ht="36" x14ac:dyDescent="0.35">
      <c r="B15" s="11" t="s">
        <v>43</v>
      </c>
      <c r="C15" s="31"/>
      <c r="D15" s="316">
        <v>30291.379999999997</v>
      </c>
      <c r="E15" s="393">
        <v>9391.245828503841</v>
      </c>
      <c r="F15" s="316">
        <v>5323.3934999999983</v>
      </c>
      <c r="G15" s="340" t="s">
        <v>37</v>
      </c>
      <c r="H15" s="316">
        <v>2456.1912758620688</v>
      </c>
      <c r="I15" s="316">
        <v>2456.1912758620688</v>
      </c>
      <c r="J15" s="316">
        <v>45006.01932850384</v>
      </c>
      <c r="K15" s="316">
        <v>59407.945513625069</v>
      </c>
      <c r="L15" s="340" t="s">
        <v>38</v>
      </c>
      <c r="M15" s="393">
        <v>100</v>
      </c>
      <c r="N15" s="39"/>
      <c r="O15" s="393" t="s">
        <v>149</v>
      </c>
      <c r="P15" s="393">
        <v>0</v>
      </c>
      <c r="Q15" s="397">
        <v>1</v>
      </c>
      <c r="R15" s="394">
        <v>1</v>
      </c>
      <c r="S15" s="398">
        <v>0</v>
      </c>
      <c r="T15" s="13" t="s">
        <v>50</v>
      </c>
      <c r="U15" s="395" t="s">
        <v>51</v>
      </c>
      <c r="V15" s="80" t="s">
        <v>146</v>
      </c>
      <c r="W15" s="39"/>
      <c r="X15" s="39"/>
      <c r="Y15" s="39"/>
      <c r="Z15" s="39"/>
      <c r="AA15" s="39"/>
      <c r="AB15" s="39"/>
    </row>
    <row r="16" spans="2:31" ht="36" x14ac:dyDescent="0.35">
      <c r="B16" s="11" t="s">
        <v>43</v>
      </c>
      <c r="C16" s="31"/>
      <c r="D16" s="316">
        <v>32586.400000000001</v>
      </c>
      <c r="E16" s="393">
        <v>2823.1609271523184</v>
      </c>
      <c r="F16" s="316">
        <v>31297.970200000003</v>
      </c>
      <c r="G16" s="340" t="s">
        <v>37</v>
      </c>
      <c r="H16" s="316">
        <v>4405.8186344827591</v>
      </c>
      <c r="I16" s="316">
        <v>4405.8186344827591</v>
      </c>
      <c r="J16" s="316">
        <v>66707.531127152324</v>
      </c>
      <c r="K16" s="316">
        <v>84807.531127152324</v>
      </c>
      <c r="L16" s="340" t="s">
        <v>38</v>
      </c>
      <c r="M16" s="393">
        <v>100</v>
      </c>
      <c r="N16" s="39"/>
      <c r="O16" s="393" t="s">
        <v>150</v>
      </c>
      <c r="P16" s="393">
        <v>0</v>
      </c>
      <c r="Q16" s="397">
        <v>1</v>
      </c>
      <c r="R16" s="394">
        <v>1</v>
      </c>
      <c r="S16" s="398">
        <v>0</v>
      </c>
      <c r="T16" s="13" t="s">
        <v>127</v>
      </c>
      <c r="U16" s="395" t="s">
        <v>128</v>
      </c>
      <c r="V16" s="80" t="s">
        <v>146</v>
      </c>
      <c r="W16" s="39"/>
      <c r="X16" s="39"/>
      <c r="Y16" s="39"/>
      <c r="Z16" s="39"/>
      <c r="AA16" s="39"/>
      <c r="AB16" s="39"/>
    </row>
    <row r="17" spans="2:28" ht="36" x14ac:dyDescent="0.35">
      <c r="B17" s="11" t="s">
        <v>43</v>
      </c>
      <c r="C17" s="31"/>
      <c r="D17" s="316">
        <v>22074.038</v>
      </c>
      <c r="E17" s="393">
        <v>9750.1238241235915</v>
      </c>
      <c r="F17" s="316">
        <v>18568.020299999996</v>
      </c>
      <c r="G17" s="340" t="s">
        <v>37</v>
      </c>
      <c r="H17" s="316">
        <v>2802.9005724137928</v>
      </c>
      <c r="I17" s="316">
        <v>2802.9005724137928</v>
      </c>
      <c r="J17" s="316">
        <v>50392.182124123588</v>
      </c>
      <c r="K17" s="316">
        <v>66517.680403843144</v>
      </c>
      <c r="L17" s="340" t="s">
        <v>38</v>
      </c>
      <c r="M17" s="393">
        <v>200</v>
      </c>
      <c r="N17" s="39"/>
      <c r="O17" s="393" t="s">
        <v>151</v>
      </c>
      <c r="P17" s="393">
        <v>0</v>
      </c>
      <c r="Q17" s="397">
        <v>0.65</v>
      </c>
      <c r="R17" s="394">
        <v>0.65</v>
      </c>
      <c r="S17" s="398">
        <v>0</v>
      </c>
      <c r="T17" s="13" t="s">
        <v>46</v>
      </c>
      <c r="U17" s="395" t="s">
        <v>47</v>
      </c>
      <c r="V17" s="80" t="s">
        <v>146</v>
      </c>
      <c r="W17" s="39"/>
      <c r="X17" s="39"/>
      <c r="Y17" s="39"/>
      <c r="Z17" s="39"/>
      <c r="AA17" s="39"/>
      <c r="AB17" s="39"/>
    </row>
    <row r="18" spans="2:28" ht="36" x14ac:dyDescent="0.35">
      <c r="B18" s="11" t="s">
        <v>43</v>
      </c>
      <c r="C18" s="31"/>
      <c r="D18" s="316">
        <v>30291.379999999997</v>
      </c>
      <c r="E18" s="393">
        <v>9391.245828503841</v>
      </c>
      <c r="F18" s="316">
        <v>9470.5350000000035</v>
      </c>
      <c r="G18" s="340" t="s">
        <v>37</v>
      </c>
      <c r="H18" s="316">
        <v>2742.2010344827586</v>
      </c>
      <c r="I18" s="316">
        <v>2742.2010344827586</v>
      </c>
      <c r="J18" s="316">
        <v>49153.160828503838</v>
      </c>
      <c r="K18" s="316">
        <v>64882.172293625066</v>
      </c>
      <c r="L18" s="340" t="s">
        <v>38</v>
      </c>
      <c r="M18" s="393">
        <v>100</v>
      </c>
      <c r="N18" s="39"/>
      <c r="O18" s="393" t="s">
        <v>152</v>
      </c>
      <c r="P18" s="393">
        <v>0</v>
      </c>
      <c r="Q18" s="397">
        <v>1</v>
      </c>
      <c r="R18" s="394">
        <v>1</v>
      </c>
      <c r="S18" s="398">
        <v>0</v>
      </c>
      <c r="T18" s="13" t="s">
        <v>50</v>
      </c>
      <c r="U18" s="395" t="s">
        <v>51</v>
      </c>
      <c r="V18" s="80" t="s">
        <v>146</v>
      </c>
      <c r="W18" s="39"/>
      <c r="X18" s="39"/>
      <c r="Y18" s="39"/>
      <c r="Z18" s="39"/>
      <c r="AA18" s="39"/>
      <c r="AB18" s="39"/>
    </row>
    <row r="19" spans="2:28" ht="36" x14ac:dyDescent="0.35">
      <c r="B19" s="11" t="s">
        <v>36</v>
      </c>
      <c r="C19" s="31"/>
      <c r="D19" s="316">
        <v>20799.839999999997</v>
      </c>
      <c r="E19" s="393">
        <v>3987.3947527749742</v>
      </c>
      <c r="F19" s="316">
        <v>2431.2826999999997</v>
      </c>
      <c r="G19" s="340" t="s">
        <v>37</v>
      </c>
      <c r="H19" s="316">
        <v>1602.146393103448</v>
      </c>
      <c r="I19" s="316">
        <v>1602.146393103448</v>
      </c>
      <c r="J19" s="316">
        <v>27218.51745277497</v>
      </c>
      <c r="K19" s="316">
        <v>35928.443037662961</v>
      </c>
      <c r="L19" s="340" t="s">
        <v>38</v>
      </c>
      <c r="M19" s="393">
        <v>100</v>
      </c>
      <c r="N19" s="39"/>
      <c r="O19" s="393" t="s">
        <v>153</v>
      </c>
      <c r="P19" s="393">
        <v>0</v>
      </c>
      <c r="Q19" s="397">
        <v>1</v>
      </c>
      <c r="R19" s="394">
        <v>1</v>
      </c>
      <c r="S19" s="398">
        <v>0</v>
      </c>
      <c r="T19" s="13" t="s">
        <v>40</v>
      </c>
      <c r="U19" s="395" t="s">
        <v>41</v>
      </c>
      <c r="V19" s="80" t="s">
        <v>146</v>
      </c>
      <c r="W19" s="39"/>
      <c r="X19" s="39"/>
      <c r="Y19" s="39"/>
      <c r="Z19" s="39"/>
      <c r="AA19" s="39"/>
      <c r="AB19" s="39"/>
    </row>
    <row r="20" spans="2:28" ht="36" x14ac:dyDescent="0.35">
      <c r="B20" s="11" t="s">
        <v>43</v>
      </c>
      <c r="C20" s="31"/>
      <c r="D20" s="316">
        <v>32586.400000000001</v>
      </c>
      <c r="E20" s="393">
        <v>6756.0105777777781</v>
      </c>
      <c r="F20" s="316">
        <v>29754.019299999993</v>
      </c>
      <c r="G20" s="340" t="s">
        <v>37</v>
      </c>
      <c r="H20" s="316">
        <v>4299.3392620689647</v>
      </c>
      <c r="I20" s="316">
        <v>4299.3392620689647</v>
      </c>
      <c r="J20" s="316">
        <v>69096.429877777773</v>
      </c>
      <c r="K20" s="316">
        <v>87196.429877777773</v>
      </c>
      <c r="L20" s="340" t="s">
        <v>38</v>
      </c>
      <c r="M20" s="393">
        <v>100</v>
      </c>
      <c r="N20" s="39"/>
      <c r="O20" s="393" t="s">
        <v>154</v>
      </c>
      <c r="P20" s="393">
        <v>0</v>
      </c>
      <c r="Q20" s="397">
        <v>1</v>
      </c>
      <c r="R20" s="394">
        <v>1</v>
      </c>
      <c r="S20" s="398">
        <v>0</v>
      </c>
      <c r="T20" s="13" t="s">
        <v>74</v>
      </c>
      <c r="U20" s="395" t="s">
        <v>47</v>
      </c>
      <c r="V20" s="80" t="s">
        <v>146</v>
      </c>
      <c r="W20" s="39"/>
      <c r="X20" s="39"/>
      <c r="Y20" s="39"/>
      <c r="Z20" s="39"/>
      <c r="AA20" s="39"/>
      <c r="AB20" s="39"/>
    </row>
    <row r="21" spans="2:28" ht="36" x14ac:dyDescent="0.35">
      <c r="B21" s="11" t="s">
        <v>36</v>
      </c>
      <c r="C21" s="31"/>
      <c r="D21" s="316">
        <v>30291.379999999997</v>
      </c>
      <c r="E21" s="393">
        <v>9391.245828503841</v>
      </c>
      <c r="F21" s="316">
        <v>5669.6010000000024</v>
      </c>
      <c r="G21" s="340" t="s">
        <v>37</v>
      </c>
      <c r="H21" s="316">
        <v>2480.0676551724137</v>
      </c>
      <c r="I21" s="316">
        <v>2480.0676551724137</v>
      </c>
      <c r="J21" s="316">
        <v>45352.226828503844</v>
      </c>
      <c r="K21" s="316">
        <v>59864.939413625078</v>
      </c>
      <c r="L21" s="340" t="s">
        <v>38</v>
      </c>
      <c r="M21" s="393">
        <v>100</v>
      </c>
      <c r="N21" s="39"/>
      <c r="O21" s="393" t="s">
        <v>155</v>
      </c>
      <c r="P21" s="393">
        <v>0</v>
      </c>
      <c r="Q21" s="397">
        <v>1</v>
      </c>
      <c r="R21" s="394">
        <v>1</v>
      </c>
      <c r="S21" s="398">
        <v>0</v>
      </c>
      <c r="T21" s="13" t="s">
        <v>50</v>
      </c>
      <c r="U21" s="395" t="s">
        <v>51</v>
      </c>
      <c r="V21" s="80" t="s">
        <v>146</v>
      </c>
      <c r="W21" s="39"/>
      <c r="X21" s="39"/>
      <c r="Y21" s="39"/>
      <c r="Z21" s="39"/>
      <c r="AA21" s="39"/>
      <c r="AB21" s="39"/>
    </row>
    <row r="22" spans="2:28" ht="36" x14ac:dyDescent="0.35">
      <c r="B22" s="11" t="s">
        <v>43</v>
      </c>
      <c r="C22" s="31"/>
      <c r="D22" s="316">
        <v>29209.579999999998</v>
      </c>
      <c r="E22" s="393">
        <v>9391.245828503841</v>
      </c>
      <c r="F22" s="316">
        <v>7863.8397000000004</v>
      </c>
      <c r="G22" s="340" t="s">
        <v>37</v>
      </c>
      <c r="H22" s="316">
        <v>2556.7875655172411</v>
      </c>
      <c r="I22" s="316">
        <v>2556.7875655172411</v>
      </c>
      <c r="J22" s="316">
        <v>46464.665528503843</v>
      </c>
      <c r="K22" s="316">
        <v>61333.358497625079</v>
      </c>
      <c r="L22" s="340" t="s">
        <v>38</v>
      </c>
      <c r="M22" s="393">
        <v>100</v>
      </c>
      <c r="N22" s="39"/>
      <c r="O22" s="393" t="s">
        <v>156</v>
      </c>
      <c r="P22" s="393">
        <v>0</v>
      </c>
      <c r="Q22" s="397">
        <v>1</v>
      </c>
      <c r="R22" s="394">
        <v>1</v>
      </c>
      <c r="S22" s="398">
        <v>0</v>
      </c>
      <c r="T22" s="13" t="s">
        <v>50</v>
      </c>
      <c r="U22" s="395" t="s">
        <v>51</v>
      </c>
      <c r="V22" s="80" t="s">
        <v>146</v>
      </c>
      <c r="W22" s="39"/>
      <c r="X22" s="39"/>
      <c r="Y22" s="39"/>
      <c r="Z22" s="39"/>
      <c r="AA22" s="39"/>
      <c r="AB22" s="39"/>
    </row>
    <row r="23" spans="2:28" ht="36" x14ac:dyDescent="0.35">
      <c r="B23" s="11" t="s">
        <v>43</v>
      </c>
      <c r="C23" s="31"/>
      <c r="D23" s="316">
        <v>29672.1</v>
      </c>
      <c r="E23" s="393">
        <v>9391.245828503841</v>
      </c>
      <c r="F23" s="316">
        <v>8178.8945000000022</v>
      </c>
      <c r="G23" s="340" t="s">
        <v>37</v>
      </c>
      <c r="H23" s="316">
        <v>2610.4134137931037</v>
      </c>
      <c r="I23" s="316">
        <v>2610.4134137931037</v>
      </c>
      <c r="J23" s="316">
        <v>47242.240328503845</v>
      </c>
      <c r="K23" s="316">
        <v>62359.757233625081</v>
      </c>
      <c r="L23" s="340" t="s">
        <v>38</v>
      </c>
      <c r="M23" s="393">
        <v>100</v>
      </c>
      <c r="N23" s="39"/>
      <c r="O23" s="393" t="s">
        <v>157</v>
      </c>
      <c r="P23" s="393">
        <v>0</v>
      </c>
      <c r="Q23" s="397">
        <v>1</v>
      </c>
      <c r="R23" s="394">
        <v>1</v>
      </c>
      <c r="S23" s="398">
        <v>0</v>
      </c>
      <c r="T23" s="13" t="s">
        <v>50</v>
      </c>
      <c r="U23" s="395" t="s">
        <v>51</v>
      </c>
      <c r="V23" s="80" t="s">
        <v>146</v>
      </c>
      <c r="W23" s="39"/>
      <c r="X23" s="39"/>
      <c r="Y23" s="39"/>
      <c r="Z23" s="39"/>
      <c r="AA23" s="39"/>
      <c r="AB23" s="39"/>
    </row>
    <row r="24" spans="2:28" ht="36" x14ac:dyDescent="0.35">
      <c r="B24" s="11" t="s">
        <v>43</v>
      </c>
      <c r="C24" s="31"/>
      <c r="D24" s="316">
        <v>20657.3</v>
      </c>
      <c r="E24" s="393">
        <v>3987.3947527749742</v>
      </c>
      <c r="F24" s="316">
        <v>2471.3163000000022</v>
      </c>
      <c r="G24" s="340" t="s">
        <v>37</v>
      </c>
      <c r="H24" s="316">
        <v>1595.0769862068967</v>
      </c>
      <c r="I24" s="316">
        <v>1595.0769862068967</v>
      </c>
      <c r="J24" s="316">
        <v>27116.011052774975</v>
      </c>
      <c r="K24" s="316">
        <v>35793.134589662972</v>
      </c>
      <c r="L24" s="340" t="s">
        <v>38</v>
      </c>
      <c r="M24" s="393">
        <v>189</v>
      </c>
      <c r="N24" s="39"/>
      <c r="O24" s="393" t="s">
        <v>158</v>
      </c>
      <c r="P24" s="393">
        <v>0</v>
      </c>
      <c r="Q24" s="397">
        <v>1</v>
      </c>
      <c r="R24" s="394">
        <v>1</v>
      </c>
      <c r="S24" s="398">
        <v>0</v>
      </c>
      <c r="T24" s="13" t="s">
        <v>40</v>
      </c>
      <c r="U24" s="395" t="s">
        <v>41</v>
      </c>
      <c r="V24" s="80" t="s">
        <v>146</v>
      </c>
      <c r="W24" s="39"/>
      <c r="X24" s="39"/>
      <c r="Y24" s="39"/>
      <c r="Z24" s="39"/>
      <c r="AA24" s="39"/>
      <c r="AB24" s="39"/>
    </row>
    <row r="25" spans="2:28" ht="36" x14ac:dyDescent="0.35">
      <c r="B25" s="11" t="s">
        <v>43</v>
      </c>
      <c r="C25" s="31"/>
      <c r="D25" s="316">
        <v>20442.159999999996</v>
      </c>
      <c r="E25" s="393">
        <v>3987.3947527749742</v>
      </c>
      <c r="F25" s="316">
        <v>2148.1528000000035</v>
      </c>
      <c r="G25" s="340" t="s">
        <v>37</v>
      </c>
      <c r="H25" s="316">
        <v>1557.9526068965517</v>
      </c>
      <c r="I25" s="316">
        <v>1557.9526068965517</v>
      </c>
      <c r="J25" s="316">
        <v>26577.707552774973</v>
      </c>
      <c r="K25" s="316">
        <v>35082.573969662968</v>
      </c>
      <c r="L25" s="340" t="s">
        <v>38</v>
      </c>
      <c r="M25" s="393">
        <v>189</v>
      </c>
      <c r="N25" s="39"/>
      <c r="O25" s="393" t="s">
        <v>159</v>
      </c>
      <c r="P25" s="393">
        <v>0</v>
      </c>
      <c r="Q25" s="397">
        <v>1</v>
      </c>
      <c r="R25" s="394">
        <v>1</v>
      </c>
      <c r="S25" s="398">
        <v>0</v>
      </c>
      <c r="T25" s="13" t="s">
        <v>40</v>
      </c>
      <c r="U25" s="395" t="s">
        <v>41</v>
      </c>
      <c r="V25" s="80" t="s">
        <v>146</v>
      </c>
      <c r="W25" s="39"/>
      <c r="X25" s="39"/>
      <c r="Y25" s="39"/>
      <c r="Z25" s="39"/>
      <c r="AA25" s="39"/>
      <c r="AB25" s="39"/>
    </row>
    <row r="26" spans="2:28" ht="36" x14ac:dyDescent="0.35">
      <c r="B26" s="11" t="s">
        <v>43</v>
      </c>
      <c r="C26" s="31"/>
      <c r="D26" s="316">
        <v>29448.399999999998</v>
      </c>
      <c r="E26" s="393">
        <v>9391.245828503841</v>
      </c>
      <c r="F26" s="316">
        <v>5704.9704999999994</v>
      </c>
      <c r="G26" s="340" t="s">
        <v>37</v>
      </c>
      <c r="H26" s="316">
        <v>2424.3703793103446</v>
      </c>
      <c r="I26" s="316">
        <v>2424.3703793103446</v>
      </c>
      <c r="J26" s="316">
        <v>44544.616328503835</v>
      </c>
      <c r="K26" s="316">
        <v>58798.893553625065</v>
      </c>
      <c r="L26" s="340" t="s">
        <v>38</v>
      </c>
      <c r="M26" s="393">
        <v>100</v>
      </c>
      <c r="N26" s="39"/>
      <c r="O26" s="393" t="s">
        <v>160</v>
      </c>
      <c r="P26" s="393">
        <v>0</v>
      </c>
      <c r="Q26" s="397">
        <v>1</v>
      </c>
      <c r="R26" s="394">
        <v>1</v>
      </c>
      <c r="S26" s="398">
        <v>0</v>
      </c>
      <c r="T26" s="13" t="s">
        <v>50</v>
      </c>
      <c r="U26" s="395" t="s">
        <v>51</v>
      </c>
      <c r="V26" s="80" t="s">
        <v>146</v>
      </c>
      <c r="W26" s="39"/>
      <c r="X26" s="39"/>
      <c r="Y26" s="39"/>
      <c r="Z26" s="39"/>
      <c r="AA26" s="39"/>
      <c r="AB26" s="39"/>
    </row>
    <row r="27" spans="2:28" ht="36" x14ac:dyDescent="0.35">
      <c r="B27" s="11" t="s">
        <v>43</v>
      </c>
      <c r="C27" s="31"/>
      <c r="D27" s="316">
        <v>28662.219999999998</v>
      </c>
      <c r="E27" s="393">
        <v>9391.245828503841</v>
      </c>
      <c r="F27" s="316">
        <v>4709.5635999999977</v>
      </c>
      <c r="G27" s="340" t="s">
        <v>37</v>
      </c>
      <c r="H27" s="316">
        <v>2301.5023172413789</v>
      </c>
      <c r="I27" s="316">
        <v>2301.5023172413789</v>
      </c>
      <c r="J27" s="316">
        <v>42763.02942850384</v>
      </c>
      <c r="K27" s="316">
        <v>56447.198845625069</v>
      </c>
      <c r="L27" s="340" t="s">
        <v>38</v>
      </c>
      <c r="M27" s="393">
        <v>189</v>
      </c>
      <c r="N27" s="39"/>
      <c r="O27" s="393" t="s">
        <v>161</v>
      </c>
      <c r="P27" s="393">
        <v>0</v>
      </c>
      <c r="Q27" s="397">
        <v>1</v>
      </c>
      <c r="R27" s="394">
        <v>1</v>
      </c>
      <c r="S27" s="398">
        <v>0</v>
      </c>
      <c r="T27" s="13" t="s">
        <v>50</v>
      </c>
      <c r="U27" s="395" t="s">
        <v>51</v>
      </c>
      <c r="V27" s="80" t="s">
        <v>146</v>
      </c>
      <c r="W27" s="39"/>
      <c r="X27" s="39"/>
      <c r="Y27" s="39"/>
      <c r="Z27" s="39"/>
      <c r="AA27" s="39"/>
      <c r="AB27" s="39"/>
    </row>
    <row r="28" spans="2:28" ht="36" x14ac:dyDescent="0.35">
      <c r="B28" s="11" t="s">
        <v>36</v>
      </c>
      <c r="C28" s="31"/>
      <c r="D28" s="316">
        <v>20058.019999999997</v>
      </c>
      <c r="E28" s="393">
        <v>3987.3947527749742</v>
      </c>
      <c r="F28" s="316">
        <v>1833.8333999999995</v>
      </c>
      <c r="G28" s="340" t="s">
        <v>37</v>
      </c>
      <c r="H28" s="316">
        <v>1509.782993103448</v>
      </c>
      <c r="I28" s="316">
        <v>1509.782993103448</v>
      </c>
      <c r="J28" s="316">
        <v>25879.24815277497</v>
      </c>
      <c r="K28" s="316">
        <v>34160.607561662961</v>
      </c>
      <c r="L28" s="340" t="s">
        <v>38</v>
      </c>
      <c r="M28" s="393">
        <v>189</v>
      </c>
      <c r="N28" s="39"/>
      <c r="O28" s="393" t="s">
        <v>162</v>
      </c>
      <c r="P28" s="393">
        <v>0</v>
      </c>
      <c r="Q28" s="397">
        <v>1</v>
      </c>
      <c r="R28" s="394">
        <v>1</v>
      </c>
      <c r="S28" s="398">
        <v>0</v>
      </c>
      <c r="T28" s="13" t="s">
        <v>40</v>
      </c>
      <c r="U28" s="395" t="s">
        <v>41</v>
      </c>
      <c r="V28" s="80" t="s">
        <v>146</v>
      </c>
      <c r="W28" s="39"/>
      <c r="X28" s="39"/>
      <c r="Y28" s="39"/>
      <c r="Z28" s="39"/>
      <c r="AA28" s="39"/>
      <c r="AB28" s="39"/>
    </row>
    <row r="29" spans="2:28" ht="36" x14ac:dyDescent="0.35">
      <c r="B29" s="11" t="s">
        <v>43</v>
      </c>
      <c r="C29" s="31"/>
      <c r="D29" s="316">
        <v>16080.525000000001</v>
      </c>
      <c r="E29" s="393">
        <v>9391.245828503841</v>
      </c>
      <c r="F29" s="316">
        <v>2203.7530999999981</v>
      </c>
      <c r="G29" s="340" t="s">
        <v>37</v>
      </c>
      <c r="H29" s="316">
        <v>1260.984696551724</v>
      </c>
      <c r="I29" s="316">
        <v>1260.984696551724</v>
      </c>
      <c r="J29" s="316">
        <v>27675.523928503841</v>
      </c>
      <c r="K29" s="316">
        <v>36531.691585625071</v>
      </c>
      <c r="L29" s="340" t="s">
        <v>38</v>
      </c>
      <c r="M29" s="393">
        <v>100</v>
      </c>
      <c r="N29" s="39"/>
      <c r="O29" s="393" t="s">
        <v>163</v>
      </c>
      <c r="P29" s="393">
        <v>0</v>
      </c>
      <c r="Q29" s="397">
        <v>0.55000000000000004</v>
      </c>
      <c r="R29" s="394">
        <v>0.55000000000000004</v>
      </c>
      <c r="S29" s="398">
        <v>0</v>
      </c>
      <c r="T29" s="13" t="s">
        <v>50</v>
      </c>
      <c r="U29" s="395" t="s">
        <v>51</v>
      </c>
      <c r="V29" s="80" t="s">
        <v>146</v>
      </c>
      <c r="W29" s="39"/>
      <c r="X29" s="39"/>
      <c r="Y29" s="39"/>
      <c r="Z29" s="39"/>
      <c r="AA29" s="39"/>
      <c r="AB29" s="39"/>
    </row>
    <row r="30" spans="2:28" ht="36" x14ac:dyDescent="0.35">
      <c r="B30" s="11" t="s">
        <v>43</v>
      </c>
      <c r="C30" s="31"/>
      <c r="D30" s="316">
        <v>20035.039999999997</v>
      </c>
      <c r="E30" s="393">
        <v>3987.3947527749742</v>
      </c>
      <c r="F30" s="316">
        <v>2003.3487000000023</v>
      </c>
      <c r="G30" s="340" t="s">
        <v>37</v>
      </c>
      <c r="H30" s="316">
        <v>1519.888875862069</v>
      </c>
      <c r="I30" s="316">
        <v>1519.888875862069</v>
      </c>
      <c r="J30" s="316">
        <v>26025.783452774973</v>
      </c>
      <c r="K30" s="316">
        <v>34354.034157662965</v>
      </c>
      <c r="L30" s="340" t="s">
        <v>38</v>
      </c>
      <c r="M30" s="393">
        <v>189</v>
      </c>
      <c r="N30" s="39"/>
      <c r="O30" s="393" t="s">
        <v>164</v>
      </c>
      <c r="P30" s="393">
        <v>0</v>
      </c>
      <c r="Q30" s="397">
        <v>1</v>
      </c>
      <c r="R30" s="394">
        <v>1</v>
      </c>
      <c r="S30" s="398">
        <v>0</v>
      </c>
      <c r="T30" s="13" t="s">
        <v>40</v>
      </c>
      <c r="U30" s="395" t="s">
        <v>41</v>
      </c>
      <c r="V30" s="80" t="s">
        <v>146</v>
      </c>
      <c r="W30" s="39"/>
      <c r="X30" s="39"/>
      <c r="Y30" s="39"/>
      <c r="Z30" s="39"/>
      <c r="AA30" s="39"/>
      <c r="AB30" s="39"/>
    </row>
    <row r="31" spans="2:28" ht="36" x14ac:dyDescent="0.35">
      <c r="B31" s="11" t="s">
        <v>43</v>
      </c>
      <c r="C31" s="31"/>
      <c r="D31" s="316">
        <v>9989.81</v>
      </c>
      <c r="E31" s="393">
        <v>1619.8840465116282</v>
      </c>
      <c r="F31" s="316">
        <v>1299.0169499999993</v>
      </c>
      <c r="G31" s="340" t="s">
        <v>37</v>
      </c>
      <c r="H31" s="316">
        <v>778.53978965517229</v>
      </c>
      <c r="I31" s="316">
        <v>778.53978965517229</v>
      </c>
      <c r="J31" s="316">
        <v>12908.710996511627</v>
      </c>
      <c r="K31" s="316">
        <v>17039.498515395349</v>
      </c>
      <c r="L31" s="340" t="s">
        <v>38</v>
      </c>
      <c r="M31" s="393">
        <v>289</v>
      </c>
      <c r="N31" s="39"/>
      <c r="O31" s="393" t="s">
        <v>165</v>
      </c>
      <c r="P31" s="393">
        <v>0</v>
      </c>
      <c r="Q31" s="397">
        <v>0.5</v>
      </c>
      <c r="R31" s="394">
        <v>0.5</v>
      </c>
      <c r="S31" s="398">
        <v>0</v>
      </c>
      <c r="T31" s="13" t="s">
        <v>65</v>
      </c>
      <c r="U31" s="395" t="s">
        <v>41</v>
      </c>
      <c r="V31" s="80" t="s">
        <v>146</v>
      </c>
      <c r="W31" s="39"/>
      <c r="X31" s="39"/>
      <c r="Y31" s="39"/>
      <c r="Z31" s="39"/>
      <c r="AA31" s="39"/>
      <c r="AB31" s="39"/>
    </row>
    <row r="32" spans="2:28" ht="36" x14ac:dyDescent="0.35">
      <c r="B32" s="11" t="s">
        <v>43</v>
      </c>
      <c r="C32" s="31"/>
      <c r="D32" s="316">
        <v>19939.419999999998</v>
      </c>
      <c r="E32" s="393">
        <v>3987.3947527749742</v>
      </c>
      <c r="F32" s="316">
        <v>1647.2533000000003</v>
      </c>
      <c r="G32" s="340" t="s">
        <v>37</v>
      </c>
      <c r="H32" s="316">
        <v>1488.7360896551722</v>
      </c>
      <c r="I32" s="316">
        <v>1488.7360896551722</v>
      </c>
      <c r="J32" s="316">
        <v>25574.068052774972</v>
      </c>
      <c r="K32" s="316">
        <v>33757.769829662968</v>
      </c>
      <c r="L32" s="340" t="s">
        <v>38</v>
      </c>
      <c r="M32" s="393">
        <v>189</v>
      </c>
      <c r="N32" s="39"/>
      <c r="O32" s="393" t="s">
        <v>166</v>
      </c>
      <c r="P32" s="393">
        <v>0</v>
      </c>
      <c r="Q32" s="397">
        <v>1</v>
      </c>
      <c r="R32" s="394">
        <v>1</v>
      </c>
      <c r="S32" s="398">
        <v>0</v>
      </c>
      <c r="T32" s="13" t="s">
        <v>40</v>
      </c>
      <c r="U32" s="395" t="s">
        <v>41</v>
      </c>
      <c r="V32" s="80" t="s">
        <v>146</v>
      </c>
      <c r="W32" s="39"/>
      <c r="X32" s="39"/>
      <c r="Y32" s="39"/>
      <c r="Z32" s="39"/>
      <c r="AA32" s="39"/>
      <c r="AB32" s="39"/>
    </row>
    <row r="33" spans="1:28" ht="36" x14ac:dyDescent="0.35">
      <c r="B33" s="11" t="s">
        <v>43</v>
      </c>
      <c r="C33" s="31"/>
      <c r="D33" s="316">
        <v>17144.679999999997</v>
      </c>
      <c r="E33" s="393">
        <v>2325.6560294117644</v>
      </c>
      <c r="F33" s="316">
        <v>1813.3003000000026</v>
      </c>
      <c r="G33" s="340" t="s">
        <v>37</v>
      </c>
      <c r="H33" s="316">
        <v>1307.4469172413792</v>
      </c>
      <c r="I33" s="316">
        <v>1307.4469172413792</v>
      </c>
      <c r="J33" s="316">
        <v>21283.636329411762</v>
      </c>
      <c r="K33" s="316">
        <v>28094.399954823526</v>
      </c>
      <c r="L33" s="340" t="s">
        <v>38</v>
      </c>
      <c r="M33" s="393">
        <v>189</v>
      </c>
      <c r="N33" s="39"/>
      <c r="O33" s="393" t="s">
        <v>167</v>
      </c>
      <c r="P33" s="393">
        <v>0</v>
      </c>
      <c r="Q33" s="397">
        <v>1</v>
      </c>
      <c r="R33" s="394">
        <v>1</v>
      </c>
      <c r="S33" s="398">
        <v>0</v>
      </c>
      <c r="T33" s="13" t="s">
        <v>57</v>
      </c>
      <c r="U33" s="395" t="s">
        <v>76</v>
      </c>
      <c r="V33" s="80" t="s">
        <v>146</v>
      </c>
      <c r="W33" s="39"/>
      <c r="X33" s="39"/>
      <c r="Y33" s="39"/>
      <c r="Z33" s="39"/>
      <c r="AA33" s="39"/>
      <c r="AB33" s="39"/>
    </row>
    <row r="34" spans="1:28" ht="36" x14ac:dyDescent="0.35">
      <c r="B34" s="11" t="s">
        <v>43</v>
      </c>
      <c r="C34" s="31"/>
      <c r="D34" s="316">
        <v>27311.530000000002</v>
      </c>
      <c r="E34" s="393">
        <v>9391.245828503841</v>
      </c>
      <c r="F34" s="316">
        <v>6080.5706499999978</v>
      </c>
      <c r="G34" s="340" t="s">
        <v>37</v>
      </c>
      <c r="H34" s="316">
        <v>2302.9034931034485</v>
      </c>
      <c r="I34" s="316">
        <v>2302.9034931034485</v>
      </c>
      <c r="J34" s="316">
        <v>42783.346478503838</v>
      </c>
      <c r="K34" s="316">
        <v>56474.017351625065</v>
      </c>
      <c r="L34" s="340" t="s">
        <v>38</v>
      </c>
      <c r="M34" s="393">
        <v>189</v>
      </c>
      <c r="N34" s="39"/>
      <c r="O34" s="393" t="s">
        <v>168</v>
      </c>
      <c r="P34" s="393">
        <v>0</v>
      </c>
      <c r="Q34" s="397">
        <v>1</v>
      </c>
      <c r="R34" s="394">
        <v>1</v>
      </c>
      <c r="S34" s="398">
        <v>0</v>
      </c>
      <c r="T34" s="13" t="s">
        <v>50</v>
      </c>
      <c r="U34" s="395" t="s">
        <v>78</v>
      </c>
      <c r="V34" s="80" t="s">
        <v>146</v>
      </c>
      <c r="W34" s="39"/>
      <c r="X34" s="39"/>
      <c r="Y34" s="39"/>
      <c r="Z34" s="39"/>
      <c r="AA34" s="39"/>
      <c r="AB34" s="39"/>
    </row>
    <row r="35" spans="1:28" ht="36" x14ac:dyDescent="0.35">
      <c r="B35" s="11" t="s">
        <v>36</v>
      </c>
      <c r="C35" s="31"/>
      <c r="D35" s="316">
        <v>27303.180000000004</v>
      </c>
      <c r="E35" s="393">
        <v>9391.245828503841</v>
      </c>
      <c r="F35" s="316">
        <v>6080.1334999999999</v>
      </c>
      <c r="G35" s="340" t="s">
        <v>37</v>
      </c>
      <c r="H35" s="316">
        <v>2302.2974827586208</v>
      </c>
      <c r="I35" s="316">
        <v>2302.2974827586208</v>
      </c>
      <c r="J35" s="316">
        <v>42774.559328503849</v>
      </c>
      <c r="K35" s="316">
        <v>56462.418313625079</v>
      </c>
      <c r="L35" s="340" t="s">
        <v>38</v>
      </c>
      <c r="M35" s="393">
        <v>189</v>
      </c>
      <c r="N35" s="39"/>
      <c r="O35" s="393" t="s">
        <v>169</v>
      </c>
      <c r="P35" s="393">
        <v>0</v>
      </c>
      <c r="Q35" s="397">
        <v>1</v>
      </c>
      <c r="R35" s="394">
        <v>1</v>
      </c>
      <c r="S35" s="398">
        <v>0</v>
      </c>
      <c r="T35" s="13" t="s">
        <v>50</v>
      </c>
      <c r="U35" s="395" t="s">
        <v>78</v>
      </c>
      <c r="V35" s="80" t="s">
        <v>146</v>
      </c>
      <c r="W35" s="39"/>
      <c r="X35" s="39"/>
      <c r="Y35" s="39"/>
      <c r="Z35" s="39"/>
      <c r="AA35" s="39"/>
      <c r="AB35" s="39"/>
    </row>
    <row r="36" spans="1:28" ht="36" x14ac:dyDescent="0.35">
      <c r="B36" s="11" t="s">
        <v>36</v>
      </c>
      <c r="C36" s="31"/>
      <c r="D36" s="316">
        <v>29220.529999999995</v>
      </c>
      <c r="E36" s="393">
        <v>15.600000000000003</v>
      </c>
      <c r="F36" s="316">
        <v>5238.7177500000071</v>
      </c>
      <c r="G36" s="340" t="s">
        <v>37</v>
      </c>
      <c r="H36" s="316">
        <v>2376.4998448275865</v>
      </c>
      <c r="I36" s="316">
        <v>2376.4998448275865</v>
      </c>
      <c r="J36" s="316">
        <v>34474.847750000001</v>
      </c>
      <c r="K36" s="316">
        <v>45506.799030000002</v>
      </c>
      <c r="L36" s="340" t="s">
        <v>38</v>
      </c>
      <c r="M36" s="393">
        <v>100</v>
      </c>
      <c r="N36" s="39"/>
      <c r="O36" s="393" t="s">
        <v>170</v>
      </c>
      <c r="P36" s="393">
        <v>0</v>
      </c>
      <c r="Q36" s="397">
        <v>1</v>
      </c>
      <c r="R36" s="394">
        <v>1</v>
      </c>
      <c r="S36" s="398">
        <v>0</v>
      </c>
      <c r="T36" s="13" t="s">
        <v>171</v>
      </c>
      <c r="U36" s="395" t="s">
        <v>89</v>
      </c>
      <c r="V36" s="80" t="s">
        <v>146</v>
      </c>
      <c r="W36" s="39"/>
      <c r="X36" s="39"/>
      <c r="Y36" s="39"/>
      <c r="Z36" s="39"/>
      <c r="AA36" s="39"/>
      <c r="AB36" s="39"/>
    </row>
    <row r="37" spans="1:28" ht="36" x14ac:dyDescent="0.35">
      <c r="B37" s="11" t="s">
        <v>43</v>
      </c>
      <c r="C37" s="31"/>
      <c r="D37" s="316">
        <v>27253.08</v>
      </c>
      <c r="E37" s="393">
        <v>9391.245828503841</v>
      </c>
      <c r="F37" s="316">
        <v>6078.2350999999981</v>
      </c>
      <c r="G37" s="340" t="s">
        <v>37</v>
      </c>
      <c r="H37" s="316">
        <v>2298.7113862068963</v>
      </c>
      <c r="I37" s="316">
        <v>2298.7113862068963</v>
      </c>
      <c r="J37" s="316">
        <v>42722.560928503837</v>
      </c>
      <c r="K37" s="316">
        <v>56393.780425625067</v>
      </c>
      <c r="L37" s="340" t="s">
        <v>38</v>
      </c>
      <c r="M37" s="393">
        <v>100</v>
      </c>
      <c r="N37" s="39"/>
      <c r="O37" s="393" t="s">
        <v>172</v>
      </c>
      <c r="P37" s="393">
        <v>0</v>
      </c>
      <c r="Q37" s="397">
        <v>1</v>
      </c>
      <c r="R37" s="394">
        <v>1</v>
      </c>
      <c r="S37" s="398">
        <v>0</v>
      </c>
      <c r="T37" s="13" t="s">
        <v>50</v>
      </c>
      <c r="U37" s="395" t="s">
        <v>78</v>
      </c>
      <c r="V37" s="80" t="s">
        <v>146</v>
      </c>
      <c r="W37" s="39"/>
      <c r="X37" s="39"/>
      <c r="Y37" s="39"/>
      <c r="Z37" s="39"/>
      <c r="AA37" s="39"/>
      <c r="AB37" s="39"/>
    </row>
    <row r="38" spans="1:28" ht="36" x14ac:dyDescent="0.35">
      <c r="B38" s="11" t="s">
        <v>43</v>
      </c>
      <c r="C38" s="31"/>
      <c r="D38" s="316">
        <v>27253.08</v>
      </c>
      <c r="E38" s="393">
        <v>9391.245828503841</v>
      </c>
      <c r="F38" s="316">
        <v>6078.3799999999974</v>
      </c>
      <c r="G38" s="340" t="s">
        <v>37</v>
      </c>
      <c r="H38" s="316">
        <v>2298.7213793103447</v>
      </c>
      <c r="I38" s="316">
        <v>2298.7213793103447</v>
      </c>
      <c r="J38" s="316">
        <v>42722.705828503837</v>
      </c>
      <c r="K38" s="316">
        <v>56393.97169362507</v>
      </c>
      <c r="L38" s="340" t="s">
        <v>38</v>
      </c>
      <c r="M38" s="393">
        <v>100</v>
      </c>
      <c r="N38" s="39"/>
      <c r="O38" s="393" t="s">
        <v>172</v>
      </c>
      <c r="P38" s="393">
        <v>0</v>
      </c>
      <c r="Q38" s="397">
        <v>1</v>
      </c>
      <c r="R38" s="394">
        <v>1</v>
      </c>
      <c r="S38" s="398">
        <v>0</v>
      </c>
      <c r="T38" s="13" t="s">
        <v>50</v>
      </c>
      <c r="U38" s="395" t="s">
        <v>78</v>
      </c>
      <c r="V38" s="80" t="s">
        <v>146</v>
      </c>
      <c r="W38" s="39"/>
      <c r="X38" s="39"/>
      <c r="Y38" s="39"/>
      <c r="Z38" s="39"/>
      <c r="AA38" s="39"/>
      <c r="AB38" s="39"/>
    </row>
    <row r="39" spans="1:28" ht="36" x14ac:dyDescent="0.35">
      <c r="B39" s="11" t="s">
        <v>43</v>
      </c>
      <c r="C39" s="31"/>
      <c r="D39" s="316">
        <v>19032.14</v>
      </c>
      <c r="E39" s="393">
        <v>3987.3947527749742</v>
      </c>
      <c r="F39" s="316">
        <v>1714.0925999999999</v>
      </c>
      <c r="G39" s="340" t="s">
        <v>37</v>
      </c>
      <c r="H39" s="316">
        <v>1430.7746620689654</v>
      </c>
      <c r="I39" s="316">
        <v>1430.7746620689654</v>
      </c>
      <c r="J39" s="316">
        <v>24733.627352774973</v>
      </c>
      <c r="K39" s="316">
        <v>32648.388105662965</v>
      </c>
      <c r="L39" s="340" t="s">
        <v>38</v>
      </c>
      <c r="M39" s="393">
        <v>189</v>
      </c>
      <c r="N39" s="39"/>
      <c r="O39" s="393" t="s">
        <v>173</v>
      </c>
      <c r="P39" s="393">
        <v>0</v>
      </c>
      <c r="Q39" s="397">
        <v>1</v>
      </c>
      <c r="R39" s="394">
        <v>1</v>
      </c>
      <c r="S39" s="398">
        <v>0</v>
      </c>
      <c r="T39" s="13" t="s">
        <v>40</v>
      </c>
      <c r="U39" s="395" t="s">
        <v>81</v>
      </c>
      <c r="V39" s="80" t="s">
        <v>146</v>
      </c>
      <c r="W39" s="39"/>
      <c r="X39" s="39"/>
      <c r="Y39" s="39"/>
      <c r="Z39" s="39"/>
      <c r="AA39" s="39"/>
      <c r="AB39" s="39"/>
    </row>
    <row r="40" spans="1:28" ht="36" x14ac:dyDescent="0.35">
      <c r="B40" s="11" t="s">
        <v>43</v>
      </c>
      <c r="C40" s="31"/>
      <c r="D40" s="316">
        <v>19032.14</v>
      </c>
      <c r="E40" s="393">
        <v>3987.3947527749742</v>
      </c>
      <c r="F40" s="316">
        <v>1714.0925999999999</v>
      </c>
      <c r="G40" s="340" t="s">
        <v>37</v>
      </c>
      <c r="H40" s="316">
        <v>1430.7746620689654</v>
      </c>
      <c r="I40" s="316">
        <v>1430.7746620689654</v>
      </c>
      <c r="J40" s="316">
        <v>24733.627352774973</v>
      </c>
      <c r="K40" s="316">
        <v>32648.388105662965</v>
      </c>
      <c r="L40" s="340" t="s">
        <v>38</v>
      </c>
      <c r="M40" s="393">
        <v>189</v>
      </c>
      <c r="N40" s="39"/>
      <c r="O40" s="393" t="s">
        <v>173</v>
      </c>
      <c r="P40" s="393">
        <v>0</v>
      </c>
      <c r="Q40" s="397">
        <v>1</v>
      </c>
      <c r="R40" s="394">
        <v>1</v>
      </c>
      <c r="S40" s="398">
        <v>0</v>
      </c>
      <c r="T40" s="13" t="s">
        <v>40</v>
      </c>
      <c r="U40" s="395" t="s">
        <v>81</v>
      </c>
      <c r="V40" s="80" t="s">
        <v>146</v>
      </c>
      <c r="W40" s="39"/>
      <c r="X40" s="39"/>
      <c r="Y40" s="39"/>
      <c r="Z40" s="39"/>
      <c r="AA40" s="39"/>
      <c r="AB40" s="39"/>
    </row>
    <row r="41" spans="1:28" ht="36" x14ac:dyDescent="0.35">
      <c r="A41" s="58"/>
      <c r="B41" s="11" t="s">
        <v>43</v>
      </c>
      <c r="C41" s="31"/>
      <c r="D41" s="316">
        <v>29366.54</v>
      </c>
      <c r="E41" s="393">
        <v>3391</v>
      </c>
      <c r="F41" s="316">
        <v>2301.739999999998</v>
      </c>
      <c r="G41" s="340" t="s">
        <v>37</v>
      </c>
      <c r="H41" s="316">
        <v>0</v>
      </c>
      <c r="I41" s="316">
        <v>0</v>
      </c>
      <c r="J41" s="316">
        <v>35059.279999999999</v>
      </c>
      <c r="K41" s="316">
        <v>46278.249600000003</v>
      </c>
      <c r="L41" s="340" t="s">
        <v>38</v>
      </c>
      <c r="M41" s="393">
        <v>100</v>
      </c>
      <c r="N41" s="11"/>
      <c r="O41" s="393" t="s">
        <v>355</v>
      </c>
      <c r="P41" s="357"/>
      <c r="Q41" s="394">
        <v>1</v>
      </c>
      <c r="R41" s="394">
        <v>1</v>
      </c>
      <c r="S41" s="357"/>
      <c r="T41" s="13" t="s">
        <v>50</v>
      </c>
      <c r="U41" s="395" t="s">
        <v>51</v>
      </c>
      <c r="V41" s="80"/>
      <c r="W41" s="11"/>
      <c r="X41" s="11"/>
      <c r="Y41" s="11"/>
      <c r="Z41" s="11"/>
      <c r="AA41" s="11"/>
      <c r="AB41" s="11"/>
    </row>
    <row r="42" spans="1:28" x14ac:dyDescent="0.35">
      <c r="B42" s="11"/>
      <c r="C42" s="11"/>
      <c r="D42" s="11"/>
      <c r="E42" s="11"/>
      <c r="F42" s="11"/>
      <c r="G42" s="80"/>
      <c r="H42" s="11"/>
      <c r="I42" s="11"/>
      <c r="J42" s="11"/>
      <c r="K42" s="316">
        <v>22818.803333333337</v>
      </c>
      <c r="L42" s="11"/>
      <c r="M42" s="393" t="s">
        <v>90</v>
      </c>
      <c r="N42" s="11"/>
      <c r="O42" s="11"/>
      <c r="P42" s="11"/>
      <c r="Q42" s="11"/>
      <c r="R42" s="11"/>
      <c r="S42" s="11"/>
      <c r="T42" s="13" t="s">
        <v>50</v>
      </c>
      <c r="U42" s="399"/>
      <c r="V42" s="80"/>
      <c r="W42" s="11"/>
      <c r="X42" s="11"/>
      <c r="Y42" s="11"/>
      <c r="Z42" s="11"/>
      <c r="AA42" s="11"/>
      <c r="AB42" s="11"/>
    </row>
    <row r="43" spans="1:28" s="20" customFormat="1" x14ac:dyDescent="0.35">
      <c r="A43"/>
      <c r="B43" s="11"/>
      <c r="C43" s="11"/>
      <c r="D43" s="11"/>
      <c r="E43" s="11"/>
      <c r="F43" s="11"/>
      <c r="G43" s="80"/>
      <c r="H43" s="11"/>
      <c r="I43" s="11"/>
      <c r="J43" s="11"/>
      <c r="K43" s="316">
        <v>292.52999999999997</v>
      </c>
      <c r="L43" s="11"/>
      <c r="M43" s="393" t="s">
        <v>90</v>
      </c>
      <c r="N43" s="11"/>
      <c r="O43" s="11"/>
      <c r="P43" s="11"/>
      <c r="Q43" s="11"/>
      <c r="R43" s="11"/>
      <c r="S43" s="11"/>
      <c r="T43" s="13" t="s">
        <v>110</v>
      </c>
      <c r="U43" s="399"/>
      <c r="V43" s="80"/>
      <c r="W43" s="399"/>
      <c r="X43" s="11"/>
      <c r="Y43" s="11"/>
      <c r="Z43" s="11"/>
      <c r="AA43" s="11"/>
      <c r="AB43" s="11"/>
    </row>
    <row r="44" spans="1:28" s="20" customFormat="1" ht="12" x14ac:dyDescent="0.3">
      <c r="W44" s="34"/>
    </row>
    <row r="45" spans="1:28" s="20" customFormat="1" ht="19" thickBot="1" x14ac:dyDescent="0.5">
      <c r="B45" s="18" t="s">
        <v>17</v>
      </c>
      <c r="C45" s="1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</row>
    <row r="46" spans="1:28" s="20" customFormat="1" ht="32" thickBot="1" x14ac:dyDescent="0.35">
      <c r="B46" s="2" t="s">
        <v>344</v>
      </c>
      <c r="C46" s="2" t="s">
        <v>2</v>
      </c>
      <c r="D46" s="2" t="s">
        <v>21</v>
      </c>
      <c r="E46" s="2" t="s">
        <v>1</v>
      </c>
      <c r="F46" s="2" t="s">
        <v>22</v>
      </c>
      <c r="G46" s="2" t="s">
        <v>14</v>
      </c>
      <c r="H46" s="2" t="s">
        <v>18</v>
      </c>
      <c r="I46" s="2" t="s">
        <v>15</v>
      </c>
      <c r="J46" s="2" t="s">
        <v>10</v>
      </c>
      <c r="K46" s="2" t="s">
        <v>23</v>
      </c>
      <c r="L46" s="2" t="s">
        <v>16</v>
      </c>
      <c r="M46" s="2" t="s">
        <v>3</v>
      </c>
      <c r="N46" s="2" t="s">
        <v>11</v>
      </c>
      <c r="O46" s="2" t="s">
        <v>4</v>
      </c>
      <c r="P46" s="2" t="s">
        <v>5</v>
      </c>
      <c r="Q46" s="2" t="s">
        <v>24</v>
      </c>
      <c r="R46" s="2" t="s">
        <v>25</v>
      </c>
      <c r="S46" s="2" t="s">
        <v>26</v>
      </c>
      <c r="T46" s="2" t="s">
        <v>27</v>
      </c>
      <c r="U46" s="2" t="s">
        <v>6</v>
      </c>
      <c r="V46" s="2" t="s">
        <v>7</v>
      </c>
      <c r="W46" s="2" t="s">
        <v>28</v>
      </c>
      <c r="X46" s="2" t="s">
        <v>29</v>
      </c>
      <c r="Y46" s="2" t="s">
        <v>30</v>
      </c>
      <c r="Z46" s="2" t="s">
        <v>31</v>
      </c>
      <c r="AA46" s="3" t="s">
        <v>8</v>
      </c>
      <c r="AB46" s="3" t="s">
        <v>9</v>
      </c>
    </row>
    <row r="47" spans="1:28" s="20" customFormat="1" x14ac:dyDescent="0.3">
      <c r="B47" s="4"/>
      <c r="C47" s="35"/>
      <c r="D47" s="5"/>
      <c r="E47" s="5"/>
      <c r="F47" s="5"/>
      <c r="G47" s="5"/>
      <c r="H47" s="5"/>
      <c r="I47" s="5"/>
      <c r="J47" s="5"/>
      <c r="K47" s="5"/>
      <c r="L47" s="4"/>
      <c r="M47" s="4"/>
      <c r="N47" s="4"/>
      <c r="O47" s="6"/>
      <c r="P47" s="7"/>
      <c r="Q47" s="8"/>
      <c r="R47" s="8"/>
      <c r="S47" s="8"/>
      <c r="T47" s="9"/>
      <c r="U47" s="9"/>
      <c r="V47" s="10"/>
      <c r="W47" s="36"/>
      <c r="X47" s="36" t="s">
        <v>0</v>
      </c>
      <c r="Y47" s="36"/>
      <c r="Z47" s="36"/>
      <c r="AA47" s="36"/>
      <c r="AB47" s="36"/>
    </row>
    <row r="48" spans="1:28" s="20" customFormat="1" x14ac:dyDescent="0.3">
      <c r="B48" s="4"/>
      <c r="C48" s="31"/>
      <c r="D48" s="5"/>
      <c r="E48" s="5"/>
      <c r="F48" s="5"/>
      <c r="G48" s="5"/>
      <c r="H48" s="5"/>
      <c r="I48" s="5"/>
      <c r="J48" s="5"/>
      <c r="K48" s="5"/>
      <c r="L48" s="4"/>
      <c r="M48" s="4"/>
      <c r="N48" s="4"/>
      <c r="O48" s="6"/>
      <c r="P48" s="7"/>
      <c r="Q48" s="8"/>
      <c r="R48" s="8"/>
      <c r="S48" s="8"/>
      <c r="T48" s="9"/>
      <c r="U48" s="9"/>
      <c r="V48" s="10"/>
      <c r="W48" s="36"/>
      <c r="X48" s="36"/>
      <c r="Y48" s="36"/>
      <c r="Z48" s="36"/>
      <c r="AA48" s="36"/>
      <c r="AB48" s="36"/>
    </row>
    <row r="49" spans="2:37" s="20" customFormat="1" x14ac:dyDescent="0.3">
      <c r="B49" s="4"/>
      <c r="C49" s="31"/>
      <c r="D49" s="5"/>
      <c r="E49" s="5"/>
      <c r="F49" s="5"/>
      <c r="G49" s="5"/>
      <c r="H49" s="5"/>
      <c r="I49" s="5"/>
      <c r="J49" s="5"/>
      <c r="K49" s="5"/>
      <c r="L49" s="4"/>
      <c r="M49" s="4"/>
      <c r="N49" s="4"/>
      <c r="O49" s="6"/>
      <c r="P49" s="7"/>
      <c r="Q49" s="8"/>
      <c r="R49" s="8"/>
      <c r="S49" s="8"/>
      <c r="T49" s="9"/>
      <c r="U49" s="9"/>
      <c r="V49" s="10"/>
      <c r="W49" s="36"/>
      <c r="X49" s="36"/>
      <c r="Y49" s="36"/>
      <c r="Z49" s="36"/>
      <c r="AA49" s="36"/>
      <c r="AB49" s="36"/>
    </row>
    <row r="50" spans="2:37" s="20" customFormat="1" x14ac:dyDescent="0.3">
      <c r="B50" s="11"/>
      <c r="C50" s="31"/>
      <c r="D50" s="12"/>
      <c r="E50" s="12"/>
      <c r="F50" s="12"/>
      <c r="G50" s="12"/>
      <c r="H50" s="12"/>
      <c r="I50" s="12"/>
      <c r="J50" s="12"/>
      <c r="K50" s="12"/>
      <c r="L50" s="11"/>
      <c r="M50" s="11"/>
      <c r="N50" s="11"/>
      <c r="O50" s="37"/>
      <c r="P50" s="13"/>
      <c r="Q50" s="14"/>
      <c r="R50" s="14"/>
      <c r="S50" s="14"/>
      <c r="T50" s="38"/>
      <c r="U50" s="38"/>
      <c r="V50" s="15"/>
      <c r="W50" s="39"/>
      <c r="X50" s="39"/>
      <c r="Y50" s="39"/>
      <c r="Z50" s="39"/>
      <c r="AA50" s="39"/>
      <c r="AB50" s="39"/>
    </row>
    <row r="51" spans="2:37" s="20" customFormat="1" x14ac:dyDescent="0.3">
      <c r="B51" s="11"/>
      <c r="C51" s="31"/>
      <c r="D51" s="12"/>
      <c r="E51" s="12"/>
      <c r="F51" s="12"/>
      <c r="G51" s="12"/>
      <c r="H51" s="12"/>
      <c r="I51" s="12"/>
      <c r="J51" s="12"/>
      <c r="K51" s="12"/>
      <c r="L51" s="11"/>
      <c r="M51" s="11"/>
      <c r="N51" s="11"/>
      <c r="O51" s="37"/>
      <c r="P51" s="13"/>
      <c r="Q51" s="14"/>
      <c r="R51" s="14"/>
      <c r="S51" s="14"/>
      <c r="T51" s="38"/>
      <c r="U51" s="38"/>
      <c r="V51" s="16"/>
      <c r="W51" s="39"/>
      <c r="X51" s="39"/>
      <c r="Y51" s="39"/>
      <c r="Z51" s="39"/>
      <c r="AA51" s="39"/>
      <c r="AB51" s="39"/>
    </row>
    <row r="52" spans="2:37" s="20" customFormat="1" x14ac:dyDescent="0.3">
      <c r="B52" s="11"/>
      <c r="C52" s="31"/>
      <c r="D52" s="12"/>
      <c r="E52" s="12"/>
      <c r="F52" s="12"/>
      <c r="G52" s="12"/>
      <c r="H52" s="12"/>
      <c r="I52" s="12"/>
      <c r="J52" s="12"/>
      <c r="K52" s="12"/>
      <c r="L52" s="11"/>
      <c r="M52" s="11"/>
      <c r="N52" s="11"/>
      <c r="O52" s="37"/>
      <c r="P52" s="13"/>
      <c r="Q52" s="14"/>
      <c r="R52" s="14"/>
      <c r="S52" s="14"/>
      <c r="T52" s="38"/>
      <c r="U52" s="38"/>
      <c r="V52" s="16"/>
      <c r="W52" s="39"/>
      <c r="X52" s="39"/>
      <c r="Y52" s="39"/>
      <c r="Z52" s="39"/>
      <c r="AA52" s="39"/>
      <c r="AB52" s="39"/>
    </row>
    <row r="53" spans="2:37" s="20" customFormat="1" ht="12" x14ac:dyDescent="0.3">
      <c r="W53" s="34"/>
    </row>
    <row r="54" spans="2:37" s="20" customFormat="1" ht="12" x14ac:dyDescent="0.3">
      <c r="W54" s="34"/>
    </row>
    <row r="55" spans="2:37" s="20" customFormat="1" ht="12" x14ac:dyDescent="0.3">
      <c r="W55" s="34"/>
    </row>
    <row r="56" spans="2:37" s="20" customFormat="1" ht="12" x14ac:dyDescent="0.3">
      <c r="W56" s="34"/>
    </row>
    <row r="57" spans="2:37" s="20" customFormat="1" ht="12" x14ac:dyDescent="0.3">
      <c r="W57" s="34"/>
    </row>
    <row r="58" spans="2:37" s="20" customFormat="1" ht="12" x14ac:dyDescent="0.3">
      <c r="W58" s="34"/>
    </row>
    <row r="59" spans="2:37" s="20" customFormat="1" ht="12" x14ac:dyDescent="0.3">
      <c r="W59" s="34"/>
    </row>
    <row r="60" spans="2:37" s="20" customFormat="1" ht="12" x14ac:dyDescent="0.3">
      <c r="W60" s="34"/>
    </row>
    <row r="61" spans="2:37" s="20" customFormat="1" ht="12" x14ac:dyDescent="0.3">
      <c r="W61" s="34"/>
    </row>
    <row r="62" spans="2:37" s="20" customFormat="1" ht="12" x14ac:dyDescent="0.3">
      <c r="W62" s="34"/>
    </row>
    <row r="63" spans="2:37" s="20" customFormat="1" x14ac:dyDescent="0.35">
      <c r="W63" s="34"/>
      <c r="AG63"/>
      <c r="AH63"/>
      <c r="AI63"/>
      <c r="AJ63"/>
      <c r="AK63"/>
    </row>
    <row r="64" spans="2:37" s="20" customFormat="1" x14ac:dyDescent="0.35">
      <c r="W64" s="34"/>
      <c r="AG64"/>
      <c r="AH64"/>
      <c r="AI64"/>
      <c r="AJ64"/>
      <c r="AK64"/>
    </row>
    <row r="65" spans="1:37" s="20" customFormat="1" x14ac:dyDescent="0.35">
      <c r="W65" s="34"/>
      <c r="AG65"/>
      <c r="AH65"/>
      <c r="AI65"/>
      <c r="AJ65"/>
      <c r="AK65"/>
    </row>
    <row r="66" spans="1:37" s="20" customFormat="1" x14ac:dyDescent="0.35">
      <c r="W66" s="34"/>
      <c r="AG66"/>
      <c r="AH66"/>
      <c r="AI66"/>
      <c r="AJ66"/>
      <c r="AK66"/>
    </row>
    <row r="67" spans="1:37" x14ac:dyDescent="0.35">
      <c r="A67" s="20"/>
      <c r="C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</row>
  </sheetData>
  <autoFilter ref="B9:AD42"/>
  <mergeCells count="3">
    <mergeCell ref="C4:E4"/>
    <mergeCell ref="C5:D5"/>
    <mergeCell ref="C6:D6"/>
  </mergeCells>
  <pageMargins left="0.7" right="0.7" top="0.75" bottom="0.75" header="0.3" footer="0.3"/>
  <pageSetup paperSize="9" scale="2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K59"/>
  <sheetViews>
    <sheetView zoomScaleNormal="100" workbookViewId="0">
      <selection activeCell="B2" sqref="B2:AB44"/>
    </sheetView>
  </sheetViews>
  <sheetFormatPr defaultColWidth="11.453125" defaultRowHeight="14.5" x14ac:dyDescent="0.35"/>
  <cols>
    <col min="1" max="1" width="6.81640625" customWidth="1"/>
    <col min="2" max="2" width="20.81640625" style="20" customWidth="1"/>
    <col min="3" max="3" width="13.54296875" customWidth="1"/>
    <col min="4" max="4" width="13.54296875" style="20" customWidth="1"/>
    <col min="5" max="15" width="25.54296875" customWidth="1"/>
    <col min="16" max="16" width="18.81640625" customWidth="1"/>
    <col min="17" max="17" width="19.54296875" customWidth="1"/>
    <col min="18" max="18" width="15.453125" customWidth="1"/>
    <col min="19" max="22" width="25.54296875" customWidth="1"/>
    <col min="23" max="23" width="22.1796875" style="21" customWidth="1"/>
    <col min="24" max="24" width="29.453125" customWidth="1"/>
    <col min="25" max="30" width="25.54296875" customWidth="1"/>
  </cols>
  <sheetData>
    <row r="2" spans="2:28" ht="18.5" x14ac:dyDescent="0.45">
      <c r="B2" s="18" t="s">
        <v>13</v>
      </c>
      <c r="C2" s="1"/>
    </row>
    <row r="3" spans="2:28" x14ac:dyDescent="0.35">
      <c r="B3" s="22"/>
      <c r="C3" s="23"/>
      <c r="F3" s="23"/>
      <c r="Q3" s="23"/>
      <c r="R3" s="23"/>
      <c r="S3" s="23"/>
    </row>
    <row r="4" spans="2:28" ht="15.5" x14ac:dyDescent="0.35">
      <c r="B4" s="24" t="s">
        <v>12</v>
      </c>
      <c r="C4" s="423" t="s">
        <v>33</v>
      </c>
      <c r="D4" s="424"/>
      <c r="E4" s="428"/>
      <c r="Q4" s="23"/>
      <c r="R4" s="23"/>
      <c r="S4" s="23"/>
    </row>
    <row r="5" spans="2:28" ht="15.5" x14ac:dyDescent="0.35">
      <c r="B5" s="24" t="s">
        <v>20</v>
      </c>
      <c r="C5" s="423" t="s">
        <v>143</v>
      </c>
      <c r="D5" s="424" t="s">
        <v>34</v>
      </c>
      <c r="E5" s="49"/>
      <c r="Q5" s="23"/>
      <c r="R5" s="23"/>
      <c r="S5" s="23"/>
    </row>
    <row r="6" spans="2:28" ht="15.5" x14ac:dyDescent="0.35">
      <c r="B6" s="25" t="s">
        <v>19</v>
      </c>
      <c r="C6" s="423" t="s">
        <v>174</v>
      </c>
      <c r="D6" s="424"/>
      <c r="E6" s="49"/>
      <c r="Q6" s="23"/>
      <c r="R6" s="23"/>
      <c r="S6" s="23"/>
    </row>
    <row r="7" spans="2:28" ht="15.5" x14ac:dyDescent="0.35">
      <c r="B7" s="24" t="s">
        <v>32</v>
      </c>
      <c r="C7" s="47">
        <v>45629</v>
      </c>
      <c r="D7" s="48"/>
      <c r="E7" s="50"/>
    </row>
    <row r="8" spans="2:28" ht="15" thickBot="1" x14ac:dyDescent="0.4">
      <c r="B8" s="29"/>
      <c r="G8" s="27"/>
      <c r="N8" s="26"/>
      <c r="O8" s="30"/>
      <c r="P8" s="26"/>
      <c r="Q8" s="28"/>
    </row>
    <row r="9" spans="2:28" ht="33.75" customHeight="1" thickBot="1" x14ac:dyDescent="0.4">
      <c r="B9" s="2" t="s">
        <v>344</v>
      </c>
      <c r="C9" s="2" t="s">
        <v>2</v>
      </c>
      <c r="D9" s="2" t="s">
        <v>21</v>
      </c>
      <c r="E9" s="2" t="s">
        <v>1</v>
      </c>
      <c r="F9" s="2" t="s">
        <v>22</v>
      </c>
      <c r="G9" s="2" t="s">
        <v>14</v>
      </c>
      <c r="H9" s="2" t="s">
        <v>18</v>
      </c>
      <c r="I9" s="2" t="s">
        <v>15</v>
      </c>
      <c r="J9" s="2" t="s">
        <v>10</v>
      </c>
      <c r="K9" s="2" t="s">
        <v>23</v>
      </c>
      <c r="L9" s="2" t="s">
        <v>16</v>
      </c>
      <c r="M9" s="2" t="s">
        <v>3</v>
      </c>
      <c r="N9" s="2" t="s">
        <v>11</v>
      </c>
      <c r="O9" s="2" t="s">
        <v>4</v>
      </c>
      <c r="P9" s="2" t="s">
        <v>5</v>
      </c>
      <c r="Q9" s="2" t="s">
        <v>24</v>
      </c>
      <c r="R9" s="2" t="s">
        <v>25</v>
      </c>
      <c r="S9" s="2" t="s">
        <v>26</v>
      </c>
      <c r="T9" s="2" t="s">
        <v>27</v>
      </c>
      <c r="U9" s="2" t="s">
        <v>6</v>
      </c>
      <c r="V9" s="2" t="s">
        <v>7</v>
      </c>
      <c r="W9" s="2" t="s">
        <v>28</v>
      </c>
      <c r="X9" s="2" t="s">
        <v>29</v>
      </c>
      <c r="Y9" s="2" t="s">
        <v>30</v>
      </c>
      <c r="Z9" s="2" t="s">
        <v>31</v>
      </c>
      <c r="AA9" s="3" t="s">
        <v>8</v>
      </c>
      <c r="AB9" s="3" t="s">
        <v>9</v>
      </c>
    </row>
    <row r="10" spans="2:28" ht="36" x14ac:dyDescent="0.35">
      <c r="B10" s="80" t="s">
        <v>43</v>
      </c>
      <c r="C10" s="256"/>
      <c r="D10" s="340">
        <v>29453.489999999998</v>
      </c>
      <c r="E10" s="341">
        <v>2961.4411162790702</v>
      </c>
      <c r="F10" s="340">
        <v>18355.539649999999</v>
      </c>
      <c r="G10" s="340" t="s">
        <v>37</v>
      </c>
      <c r="H10" s="340">
        <v>3297.1744586206896</v>
      </c>
      <c r="I10" s="340">
        <v>3297.1744586206896</v>
      </c>
      <c r="J10" s="340">
        <v>50770.470766279068</v>
      </c>
      <c r="K10" s="340">
        <v>67017.021411488371</v>
      </c>
      <c r="L10" s="340" t="s">
        <v>38</v>
      </c>
      <c r="M10" s="341">
        <v>100</v>
      </c>
      <c r="N10" s="261"/>
      <c r="O10" s="341" t="s">
        <v>175</v>
      </c>
      <c r="P10" s="341">
        <v>0</v>
      </c>
      <c r="Q10" s="342">
        <v>1</v>
      </c>
      <c r="R10" s="343">
        <v>1</v>
      </c>
      <c r="S10" s="344">
        <v>0</v>
      </c>
      <c r="T10" s="258" t="s">
        <v>68</v>
      </c>
      <c r="U10" s="345" t="s">
        <v>51</v>
      </c>
      <c r="V10" s="261"/>
      <c r="W10" s="261"/>
      <c r="X10" s="261"/>
      <c r="Y10" s="261"/>
      <c r="Z10" s="261"/>
      <c r="AA10" s="261"/>
      <c r="AB10" s="261"/>
    </row>
    <row r="11" spans="2:28" ht="36" x14ac:dyDescent="0.35">
      <c r="B11" s="80" t="s">
        <v>36</v>
      </c>
      <c r="C11" s="256"/>
      <c r="D11" s="340">
        <v>27740.3</v>
      </c>
      <c r="E11" s="341">
        <v>9391.245828503841</v>
      </c>
      <c r="F11" s="340">
        <v>8347.6340999999993</v>
      </c>
      <c r="G11" s="340" t="s">
        <v>37</v>
      </c>
      <c r="H11" s="340">
        <v>2488.8230413793103</v>
      </c>
      <c r="I11" s="340">
        <v>2488.8230413793103</v>
      </c>
      <c r="J11" s="340">
        <v>45479.179928503843</v>
      </c>
      <c r="K11" s="340">
        <v>60032.517505625074</v>
      </c>
      <c r="L11" s="340" t="s">
        <v>38</v>
      </c>
      <c r="M11" s="341">
        <v>100</v>
      </c>
      <c r="N11" s="261"/>
      <c r="O11" s="341" t="s">
        <v>176</v>
      </c>
      <c r="P11" s="341">
        <v>0</v>
      </c>
      <c r="Q11" s="342">
        <v>1</v>
      </c>
      <c r="R11" s="343">
        <v>1</v>
      </c>
      <c r="S11" s="344">
        <v>0</v>
      </c>
      <c r="T11" s="258" t="s">
        <v>50</v>
      </c>
      <c r="U11" s="345" t="s">
        <v>51</v>
      </c>
      <c r="V11" s="261"/>
      <c r="W11" s="261"/>
      <c r="X11" s="261"/>
      <c r="Y11" s="261"/>
      <c r="Z11" s="261"/>
      <c r="AA11" s="261"/>
      <c r="AB11" s="261"/>
    </row>
    <row r="12" spans="2:28" ht="36" x14ac:dyDescent="0.35">
      <c r="B12" s="80" t="s">
        <v>43</v>
      </c>
      <c r="C12" s="256"/>
      <c r="D12" s="340">
        <v>18282.442500000001</v>
      </c>
      <c r="E12" s="341">
        <v>9391.245828503841</v>
      </c>
      <c r="F12" s="340">
        <v>7882.1289499999948</v>
      </c>
      <c r="G12" s="340" t="s">
        <v>37</v>
      </c>
      <c r="H12" s="340">
        <v>1804.4532034482756</v>
      </c>
      <c r="I12" s="340">
        <v>1804.4532034482756</v>
      </c>
      <c r="J12" s="340">
        <v>35555.817278503833</v>
      </c>
      <c r="K12" s="340">
        <v>46933.67880762506</v>
      </c>
      <c r="L12" s="340" t="s">
        <v>38</v>
      </c>
      <c r="M12" s="341">
        <v>200</v>
      </c>
      <c r="N12" s="261"/>
      <c r="O12" s="341" t="s">
        <v>177</v>
      </c>
      <c r="P12" s="341">
        <v>0</v>
      </c>
      <c r="Q12" s="342">
        <v>0.67500000000000004</v>
      </c>
      <c r="R12" s="343">
        <v>0.67500000000000004</v>
      </c>
      <c r="S12" s="344">
        <v>0</v>
      </c>
      <c r="T12" s="258" t="s">
        <v>50</v>
      </c>
      <c r="U12" s="345" t="s">
        <v>78</v>
      </c>
      <c r="V12" s="261"/>
      <c r="W12" s="261"/>
      <c r="X12" s="261"/>
      <c r="Y12" s="261"/>
      <c r="Z12" s="261"/>
      <c r="AA12" s="261"/>
      <c r="AB12" s="261"/>
    </row>
    <row r="13" spans="2:28" ht="36" x14ac:dyDescent="0.35">
      <c r="B13" s="80" t="s">
        <v>43</v>
      </c>
      <c r="C13" s="256"/>
      <c r="D13" s="340">
        <v>27740.3</v>
      </c>
      <c r="E13" s="341">
        <v>9391.245828503841</v>
      </c>
      <c r="F13" s="340">
        <v>9833.2524000000012</v>
      </c>
      <c r="G13" s="340" t="s">
        <v>37</v>
      </c>
      <c r="H13" s="340">
        <v>2591.2794758620689</v>
      </c>
      <c r="I13" s="340">
        <v>2591.2794758620689</v>
      </c>
      <c r="J13" s="340">
        <v>46964.798228503845</v>
      </c>
      <c r="K13" s="340">
        <v>61993.533661625079</v>
      </c>
      <c r="L13" s="340" t="s">
        <v>38</v>
      </c>
      <c r="M13" s="341">
        <v>100</v>
      </c>
      <c r="N13" s="261"/>
      <c r="O13" s="341" t="s">
        <v>178</v>
      </c>
      <c r="P13" s="341">
        <v>0</v>
      </c>
      <c r="Q13" s="342">
        <v>1</v>
      </c>
      <c r="R13" s="343">
        <v>1</v>
      </c>
      <c r="S13" s="344">
        <v>0</v>
      </c>
      <c r="T13" s="258" t="s">
        <v>50</v>
      </c>
      <c r="U13" s="345" t="s">
        <v>51</v>
      </c>
      <c r="V13" s="261"/>
      <c r="W13" s="261"/>
      <c r="X13" s="261"/>
      <c r="Y13" s="261"/>
      <c r="Z13" s="261"/>
      <c r="AA13" s="261"/>
      <c r="AB13" s="261"/>
    </row>
    <row r="14" spans="2:28" ht="36" x14ac:dyDescent="0.35">
      <c r="B14" s="80" t="s">
        <v>43</v>
      </c>
      <c r="C14" s="256"/>
      <c r="D14" s="340">
        <v>20941.729999999996</v>
      </c>
      <c r="E14" s="341">
        <v>3987.3947527749742</v>
      </c>
      <c r="F14" s="340">
        <v>2221.9417500000018</v>
      </c>
      <c r="G14" s="340" t="s">
        <v>37</v>
      </c>
      <c r="H14" s="340">
        <v>1597.4946034482757</v>
      </c>
      <c r="I14" s="340">
        <v>1597.4946034482757</v>
      </c>
      <c r="J14" s="340">
        <v>27151.066502774971</v>
      </c>
      <c r="K14" s="340">
        <v>35839.407783662966</v>
      </c>
      <c r="L14" s="340" t="s">
        <v>38</v>
      </c>
      <c r="M14" s="341">
        <v>189</v>
      </c>
      <c r="N14" s="261"/>
      <c r="O14" s="341" t="s">
        <v>179</v>
      </c>
      <c r="P14" s="341">
        <v>0</v>
      </c>
      <c r="Q14" s="342">
        <v>1</v>
      </c>
      <c r="R14" s="343">
        <v>1</v>
      </c>
      <c r="S14" s="344">
        <v>0</v>
      </c>
      <c r="T14" s="258" t="s">
        <v>40</v>
      </c>
      <c r="U14" s="345" t="s">
        <v>41</v>
      </c>
      <c r="V14" s="261"/>
      <c r="W14" s="261"/>
      <c r="X14" s="261"/>
      <c r="Y14" s="261"/>
      <c r="Z14" s="261"/>
      <c r="AA14" s="261"/>
      <c r="AB14" s="261"/>
    </row>
    <row r="15" spans="2:28" ht="36" x14ac:dyDescent="0.35">
      <c r="B15" s="80" t="s">
        <v>36</v>
      </c>
      <c r="C15" s="256"/>
      <c r="D15" s="340">
        <v>29295.559999999998</v>
      </c>
      <c r="E15" s="341">
        <v>9391.245828503841</v>
      </c>
      <c r="F15" s="340">
        <v>12399.0726</v>
      </c>
      <c r="G15" s="340" t="s">
        <v>37</v>
      </c>
      <c r="H15" s="340">
        <v>2875.4919034482755</v>
      </c>
      <c r="I15" s="340">
        <v>2875.4919034482755</v>
      </c>
      <c r="J15" s="340">
        <v>51085.878428503842</v>
      </c>
      <c r="K15" s="340">
        <v>67433.35952562507</v>
      </c>
      <c r="L15" s="340" t="s">
        <v>38</v>
      </c>
      <c r="M15" s="341">
        <v>100</v>
      </c>
      <c r="N15" s="261"/>
      <c r="O15" s="341" t="s">
        <v>180</v>
      </c>
      <c r="P15" s="341">
        <v>0</v>
      </c>
      <c r="Q15" s="342">
        <v>1</v>
      </c>
      <c r="R15" s="343">
        <v>1</v>
      </c>
      <c r="S15" s="344">
        <v>0</v>
      </c>
      <c r="T15" s="258" t="s">
        <v>50</v>
      </c>
      <c r="U15" s="345" t="s">
        <v>51</v>
      </c>
      <c r="V15" s="261"/>
      <c r="W15" s="261"/>
      <c r="X15" s="261"/>
      <c r="Y15" s="261"/>
      <c r="Z15" s="261"/>
      <c r="AA15" s="261"/>
      <c r="AB15" s="261"/>
    </row>
    <row r="16" spans="2:28" ht="36" x14ac:dyDescent="0.35">
      <c r="B16" s="80" t="s">
        <v>43</v>
      </c>
      <c r="C16" s="256"/>
      <c r="D16" s="340">
        <v>12078.416000000001</v>
      </c>
      <c r="E16" s="341">
        <v>3987.3947527749742</v>
      </c>
      <c r="F16" s="340">
        <v>1503.4844999999987</v>
      </c>
      <c r="G16" s="340" t="s">
        <v>37</v>
      </c>
      <c r="H16" s="340">
        <v>936.68279310344826</v>
      </c>
      <c r="I16" s="340">
        <v>936.68279310344826</v>
      </c>
      <c r="J16" s="340">
        <v>17569.295252774973</v>
      </c>
      <c r="K16" s="340">
        <v>23191.469733662965</v>
      </c>
      <c r="L16" s="340" t="s">
        <v>38</v>
      </c>
      <c r="M16" s="341">
        <v>189</v>
      </c>
      <c r="N16" s="261"/>
      <c r="O16" s="341" t="s">
        <v>181</v>
      </c>
      <c r="P16" s="341">
        <v>0</v>
      </c>
      <c r="Q16" s="342">
        <v>0.6</v>
      </c>
      <c r="R16" s="343">
        <v>0.6</v>
      </c>
      <c r="S16" s="344">
        <v>0</v>
      </c>
      <c r="T16" s="258" t="s">
        <v>40</v>
      </c>
      <c r="U16" s="345" t="s">
        <v>81</v>
      </c>
      <c r="V16" s="261"/>
      <c r="W16" s="261"/>
      <c r="X16" s="261"/>
      <c r="Y16" s="261"/>
      <c r="Z16" s="261"/>
      <c r="AA16" s="261"/>
      <c r="AB16" s="261"/>
    </row>
    <row r="17" spans="2:28" ht="36" x14ac:dyDescent="0.35">
      <c r="B17" s="80" t="s">
        <v>43</v>
      </c>
      <c r="C17" s="256"/>
      <c r="D17" s="340">
        <v>29285.42</v>
      </c>
      <c r="E17" s="341">
        <v>9391.245828503841</v>
      </c>
      <c r="F17" s="340">
        <v>7102.5192000000025</v>
      </c>
      <c r="G17" s="340" t="s">
        <v>37</v>
      </c>
      <c r="H17" s="340">
        <v>2509.5130482758623</v>
      </c>
      <c r="I17" s="340">
        <v>2509.5130482758623</v>
      </c>
      <c r="J17" s="340">
        <v>45779.185028503838</v>
      </c>
      <c r="K17" s="340">
        <v>60428.524237625068</v>
      </c>
      <c r="L17" s="340" t="s">
        <v>38</v>
      </c>
      <c r="M17" s="341">
        <v>100</v>
      </c>
      <c r="N17" s="261"/>
      <c r="O17" s="341" t="s">
        <v>182</v>
      </c>
      <c r="P17" s="341">
        <v>0</v>
      </c>
      <c r="Q17" s="342">
        <v>1</v>
      </c>
      <c r="R17" s="343">
        <v>1</v>
      </c>
      <c r="S17" s="344">
        <v>0</v>
      </c>
      <c r="T17" s="258" t="s">
        <v>50</v>
      </c>
      <c r="U17" s="345" t="s">
        <v>51</v>
      </c>
      <c r="V17" s="261"/>
      <c r="W17" s="261"/>
      <c r="X17" s="261"/>
      <c r="Y17" s="261"/>
      <c r="Z17" s="261"/>
      <c r="AA17" s="261"/>
      <c r="AB17" s="261"/>
    </row>
    <row r="18" spans="2:28" ht="36" x14ac:dyDescent="0.35">
      <c r="B18" s="80" t="s">
        <v>43</v>
      </c>
      <c r="C18" s="256"/>
      <c r="D18" s="340">
        <v>30964.18</v>
      </c>
      <c r="E18" s="341">
        <v>11655.644303267974</v>
      </c>
      <c r="F18" s="340">
        <v>42608.514699999992</v>
      </c>
      <c r="G18" s="340" t="s">
        <v>37</v>
      </c>
      <c r="H18" s="340">
        <v>5073.978944827586</v>
      </c>
      <c r="I18" s="340">
        <v>5073.978944827586</v>
      </c>
      <c r="J18" s="340">
        <v>85228.33900326796</v>
      </c>
      <c r="K18" s="340">
        <v>103328.33900326796</v>
      </c>
      <c r="L18" s="340" t="s">
        <v>38</v>
      </c>
      <c r="M18" s="341">
        <v>189</v>
      </c>
      <c r="N18" s="261"/>
      <c r="O18" s="341" t="s">
        <v>183</v>
      </c>
      <c r="P18" s="341">
        <v>0</v>
      </c>
      <c r="Q18" s="342">
        <v>1</v>
      </c>
      <c r="R18" s="343">
        <v>1</v>
      </c>
      <c r="S18" s="344">
        <v>0</v>
      </c>
      <c r="T18" s="258" t="s">
        <v>61</v>
      </c>
      <c r="U18" s="345" t="s">
        <v>47</v>
      </c>
      <c r="V18" s="261"/>
      <c r="W18" s="261"/>
      <c r="X18" s="261"/>
      <c r="Y18" s="261"/>
      <c r="Z18" s="261"/>
      <c r="AA18" s="261"/>
      <c r="AB18" s="261"/>
    </row>
    <row r="19" spans="2:28" ht="36" x14ac:dyDescent="0.35">
      <c r="B19" s="80" t="s">
        <v>43</v>
      </c>
      <c r="C19" s="256"/>
      <c r="D19" s="340">
        <v>30032.879999999997</v>
      </c>
      <c r="E19" s="341">
        <v>6756.0105777777781</v>
      </c>
      <c r="F19" s="340">
        <v>11705.264000000003</v>
      </c>
      <c r="G19" s="340" t="s">
        <v>37</v>
      </c>
      <c r="H19" s="340">
        <v>2878.4926896551724</v>
      </c>
      <c r="I19" s="340">
        <v>2878.4926896551724</v>
      </c>
      <c r="J19" s="340">
        <v>48494.154577777779</v>
      </c>
      <c r="K19" s="340">
        <v>64012.284042666673</v>
      </c>
      <c r="L19" s="340" t="s">
        <v>38</v>
      </c>
      <c r="M19" s="341">
        <v>100</v>
      </c>
      <c r="N19" s="261"/>
      <c r="O19" s="341" t="s">
        <v>184</v>
      </c>
      <c r="P19" s="341">
        <v>0</v>
      </c>
      <c r="Q19" s="342">
        <v>1</v>
      </c>
      <c r="R19" s="343">
        <v>1</v>
      </c>
      <c r="S19" s="344">
        <v>0</v>
      </c>
      <c r="T19" s="258" t="s">
        <v>74</v>
      </c>
      <c r="U19" s="345" t="s">
        <v>89</v>
      </c>
      <c r="V19" s="261"/>
      <c r="W19" s="261"/>
      <c r="X19" s="261"/>
      <c r="Y19" s="261"/>
      <c r="Z19" s="261"/>
      <c r="AA19" s="261"/>
      <c r="AB19" s="261"/>
    </row>
    <row r="20" spans="2:28" ht="36" x14ac:dyDescent="0.35">
      <c r="B20" s="80" t="s">
        <v>43</v>
      </c>
      <c r="C20" s="256"/>
      <c r="D20" s="340">
        <v>17982.359999999997</v>
      </c>
      <c r="E20" s="341">
        <v>2325.6560294117644</v>
      </c>
      <c r="F20" s="340">
        <v>1749.4484000000011</v>
      </c>
      <c r="G20" s="340" t="s">
        <v>37</v>
      </c>
      <c r="H20" s="340">
        <v>1360.8143724137931</v>
      </c>
      <c r="I20" s="340">
        <v>1360.8143724137931</v>
      </c>
      <c r="J20" s="340">
        <v>22057.464429411761</v>
      </c>
      <c r="K20" s="340">
        <v>29115.853046823526</v>
      </c>
      <c r="L20" s="340" t="s">
        <v>38</v>
      </c>
      <c r="M20" s="341">
        <v>189</v>
      </c>
      <c r="N20" s="261"/>
      <c r="O20" s="341" t="s">
        <v>185</v>
      </c>
      <c r="P20" s="341">
        <v>0</v>
      </c>
      <c r="Q20" s="342">
        <v>1</v>
      </c>
      <c r="R20" s="343">
        <v>1</v>
      </c>
      <c r="S20" s="344">
        <v>0</v>
      </c>
      <c r="T20" s="258" t="s">
        <v>57</v>
      </c>
      <c r="U20" s="345" t="s">
        <v>58</v>
      </c>
      <c r="V20" s="261"/>
      <c r="W20" s="261"/>
      <c r="X20" s="261"/>
      <c r="Y20" s="261"/>
      <c r="Z20" s="261"/>
      <c r="AA20" s="261"/>
      <c r="AB20" s="261"/>
    </row>
    <row r="21" spans="2:28" ht="36" x14ac:dyDescent="0.35">
      <c r="B21" s="80" t="s">
        <v>43</v>
      </c>
      <c r="C21" s="256"/>
      <c r="D21" s="340">
        <v>29804.079999999998</v>
      </c>
      <c r="E21" s="341">
        <v>9391.245828503841</v>
      </c>
      <c r="F21" s="340">
        <v>9004.0825000000004</v>
      </c>
      <c r="G21" s="340" t="s">
        <v>37</v>
      </c>
      <c r="H21" s="340">
        <v>2676.4249999999997</v>
      </c>
      <c r="I21" s="340">
        <v>2676.4249999999997</v>
      </c>
      <c r="J21" s="340">
        <v>48199.408328503836</v>
      </c>
      <c r="K21" s="340">
        <v>63623.218993625065</v>
      </c>
      <c r="L21" s="340" t="s">
        <v>38</v>
      </c>
      <c r="M21" s="341">
        <v>100</v>
      </c>
      <c r="N21" s="261"/>
      <c r="O21" s="341" t="s">
        <v>186</v>
      </c>
      <c r="P21" s="341">
        <v>0</v>
      </c>
      <c r="Q21" s="342">
        <v>1</v>
      </c>
      <c r="R21" s="343">
        <v>1</v>
      </c>
      <c r="S21" s="344">
        <v>0</v>
      </c>
      <c r="T21" s="258" t="s">
        <v>50</v>
      </c>
      <c r="U21" s="345" t="s">
        <v>51</v>
      </c>
      <c r="V21" s="261"/>
      <c r="W21" s="261"/>
      <c r="X21" s="261"/>
      <c r="Y21" s="261"/>
      <c r="Z21" s="261"/>
      <c r="AA21" s="261"/>
      <c r="AB21" s="261"/>
    </row>
    <row r="22" spans="2:28" ht="36" x14ac:dyDescent="0.35">
      <c r="B22" s="80" t="s">
        <v>43</v>
      </c>
      <c r="C22" s="256"/>
      <c r="D22" s="340">
        <v>19320.559999999998</v>
      </c>
      <c r="E22" s="341">
        <v>3987.3947527749742</v>
      </c>
      <c r="F22" s="340">
        <v>1423.4163000000044</v>
      </c>
      <c r="G22" s="340" t="s">
        <v>37</v>
      </c>
      <c r="H22" s="340">
        <v>1430.6190551724139</v>
      </c>
      <c r="I22" s="340">
        <v>1430.6190551724139</v>
      </c>
      <c r="J22" s="340">
        <v>24731.371052774975</v>
      </c>
      <c r="K22" s="340">
        <v>32645.409789662968</v>
      </c>
      <c r="L22" s="340" t="s">
        <v>38</v>
      </c>
      <c r="M22" s="341">
        <v>189</v>
      </c>
      <c r="N22" s="261"/>
      <c r="O22" s="341" t="s">
        <v>187</v>
      </c>
      <c r="P22" s="341">
        <v>0</v>
      </c>
      <c r="Q22" s="342">
        <v>1</v>
      </c>
      <c r="R22" s="343">
        <v>1</v>
      </c>
      <c r="S22" s="344">
        <v>0</v>
      </c>
      <c r="T22" s="258" t="s">
        <v>40</v>
      </c>
      <c r="U22" s="345" t="s">
        <v>41</v>
      </c>
      <c r="V22" s="261"/>
      <c r="W22" s="261"/>
      <c r="X22" s="261"/>
      <c r="Y22" s="261"/>
      <c r="Z22" s="261"/>
      <c r="AA22" s="261"/>
      <c r="AB22" s="261"/>
    </row>
    <row r="23" spans="2:28" ht="36" x14ac:dyDescent="0.35">
      <c r="B23" s="80" t="s">
        <v>43</v>
      </c>
      <c r="C23" s="256"/>
      <c r="D23" s="340">
        <v>24951.56</v>
      </c>
      <c r="E23" s="341">
        <v>2091.9003529411771</v>
      </c>
      <c r="F23" s="340">
        <v>3310.2215999999971</v>
      </c>
      <c r="G23" s="340" t="s">
        <v>37</v>
      </c>
      <c r="H23" s="340">
        <v>1949.0883862068965</v>
      </c>
      <c r="I23" s="340">
        <v>1949.0883862068965</v>
      </c>
      <c r="J23" s="340">
        <v>30353.681952941177</v>
      </c>
      <c r="K23" s="340">
        <v>40066.860177882358</v>
      </c>
      <c r="L23" s="340" t="s">
        <v>38</v>
      </c>
      <c r="M23" s="341">
        <v>189</v>
      </c>
      <c r="N23" s="261"/>
      <c r="O23" s="341" t="s">
        <v>188</v>
      </c>
      <c r="P23" s="341">
        <v>0</v>
      </c>
      <c r="Q23" s="342">
        <v>1</v>
      </c>
      <c r="R23" s="343">
        <v>1</v>
      </c>
      <c r="S23" s="344">
        <v>0</v>
      </c>
      <c r="T23" s="258" t="s">
        <v>71</v>
      </c>
      <c r="U23" s="345" t="s">
        <v>54</v>
      </c>
      <c r="V23" s="261"/>
      <c r="W23" s="261"/>
      <c r="X23" s="261"/>
      <c r="Y23" s="261"/>
      <c r="Z23" s="261"/>
      <c r="AA23" s="261"/>
      <c r="AB23" s="261"/>
    </row>
    <row r="24" spans="2:28" ht="36" x14ac:dyDescent="0.35">
      <c r="B24" s="80" t="s">
        <v>43</v>
      </c>
      <c r="C24" s="256"/>
      <c r="D24" s="340">
        <v>19320.559999999998</v>
      </c>
      <c r="E24" s="341">
        <v>3987.3947527749742</v>
      </c>
      <c r="F24" s="340">
        <v>2451.2023500000032</v>
      </c>
      <c r="G24" s="340" t="s">
        <v>37</v>
      </c>
      <c r="H24" s="340">
        <v>1501.5008517241381</v>
      </c>
      <c r="I24" s="340">
        <v>1501.5008517241381</v>
      </c>
      <c r="J24" s="340">
        <v>25759.157102774974</v>
      </c>
      <c r="K24" s="340">
        <v>34002.087375662966</v>
      </c>
      <c r="L24" s="340" t="s">
        <v>38</v>
      </c>
      <c r="M24" s="341">
        <v>189</v>
      </c>
      <c r="N24" s="261"/>
      <c r="O24" s="341" t="s">
        <v>189</v>
      </c>
      <c r="P24" s="341">
        <v>0</v>
      </c>
      <c r="Q24" s="342">
        <v>1</v>
      </c>
      <c r="R24" s="343">
        <v>1</v>
      </c>
      <c r="S24" s="344">
        <v>0</v>
      </c>
      <c r="T24" s="258" t="s">
        <v>40</v>
      </c>
      <c r="U24" s="345" t="s">
        <v>41</v>
      </c>
      <c r="V24" s="261"/>
      <c r="W24" s="261"/>
      <c r="X24" s="261"/>
      <c r="Y24" s="261"/>
      <c r="Z24" s="261"/>
      <c r="AA24" s="261"/>
      <c r="AB24" s="261"/>
    </row>
    <row r="25" spans="2:28" ht="36" x14ac:dyDescent="0.35">
      <c r="B25" s="80" t="s">
        <v>43</v>
      </c>
      <c r="C25" s="256"/>
      <c r="D25" s="340">
        <v>11604.32</v>
      </c>
      <c r="E25" s="341">
        <v>6756.0105777777781</v>
      </c>
      <c r="F25" s="340">
        <v>9325.7492999999995</v>
      </c>
      <c r="G25" s="340" t="s">
        <v>37</v>
      </c>
      <c r="H25" s="340">
        <v>1443.4530551724138</v>
      </c>
      <c r="I25" s="340">
        <v>1443.4530551724138</v>
      </c>
      <c r="J25" s="340">
        <v>27686.079877777778</v>
      </c>
      <c r="K25" s="340">
        <v>36545.62543866667</v>
      </c>
      <c r="L25" s="340" t="s">
        <v>38</v>
      </c>
      <c r="M25" s="341">
        <v>289</v>
      </c>
      <c r="N25" s="261"/>
      <c r="O25" s="341" t="s">
        <v>190</v>
      </c>
      <c r="P25" s="341">
        <v>0</v>
      </c>
      <c r="Q25" s="342">
        <v>0.4</v>
      </c>
      <c r="R25" s="343">
        <v>0.4</v>
      </c>
      <c r="S25" s="344">
        <v>0</v>
      </c>
      <c r="T25" s="258" t="s">
        <v>74</v>
      </c>
      <c r="U25" s="345" t="s">
        <v>89</v>
      </c>
      <c r="V25" s="261"/>
      <c r="W25" s="261"/>
      <c r="X25" s="261"/>
      <c r="Y25" s="261"/>
      <c r="Z25" s="261"/>
      <c r="AA25" s="261"/>
      <c r="AB25" s="261"/>
    </row>
    <row r="26" spans="2:28" ht="36" x14ac:dyDescent="0.35">
      <c r="B26" s="80" t="s">
        <v>43</v>
      </c>
      <c r="C26" s="256"/>
      <c r="D26" s="340">
        <v>27554.660000000003</v>
      </c>
      <c r="E26" s="341">
        <v>9391.245828503841</v>
      </c>
      <c r="F26" s="340">
        <v>6305.9954999999973</v>
      </c>
      <c r="G26" s="340" t="s">
        <v>37</v>
      </c>
      <c r="H26" s="340">
        <v>2335.2176206896552</v>
      </c>
      <c r="I26" s="340">
        <v>2335.2176206896552</v>
      </c>
      <c r="J26" s="340">
        <v>43251.901328503838</v>
      </c>
      <c r="K26" s="340">
        <v>57092.509753625069</v>
      </c>
      <c r="L26" s="340" t="s">
        <v>38</v>
      </c>
      <c r="M26" s="341">
        <v>189</v>
      </c>
      <c r="N26" s="261"/>
      <c r="O26" s="341" t="s">
        <v>191</v>
      </c>
      <c r="P26" s="341">
        <v>0</v>
      </c>
      <c r="Q26" s="342">
        <v>1</v>
      </c>
      <c r="R26" s="343">
        <v>1</v>
      </c>
      <c r="S26" s="344">
        <v>0</v>
      </c>
      <c r="T26" s="258" t="s">
        <v>50</v>
      </c>
      <c r="U26" s="345" t="s">
        <v>78</v>
      </c>
      <c r="V26" s="261"/>
      <c r="W26" s="261"/>
      <c r="X26" s="261"/>
      <c r="Y26" s="261"/>
      <c r="Z26" s="261"/>
      <c r="AA26" s="261"/>
      <c r="AB26" s="261"/>
    </row>
    <row r="27" spans="2:28" ht="36" x14ac:dyDescent="0.35">
      <c r="B27" s="80" t="s">
        <v>36</v>
      </c>
      <c r="C27" s="256"/>
      <c r="D27" s="340">
        <v>27488.02</v>
      </c>
      <c r="E27" s="341">
        <v>9391.245828503841</v>
      </c>
      <c r="F27" s="340">
        <v>6302.9385999999977</v>
      </c>
      <c r="G27" s="340" t="s">
        <v>37</v>
      </c>
      <c r="H27" s="340">
        <v>2330.4109379310344</v>
      </c>
      <c r="I27" s="340">
        <v>2330.4109379310344</v>
      </c>
      <c r="J27" s="340">
        <v>43182.204428503843</v>
      </c>
      <c r="K27" s="340">
        <v>57000.509845625078</v>
      </c>
      <c r="L27" s="340" t="s">
        <v>38</v>
      </c>
      <c r="M27" s="341">
        <v>189</v>
      </c>
      <c r="N27" s="261"/>
      <c r="O27" s="341" t="s">
        <v>192</v>
      </c>
      <c r="P27" s="341">
        <v>0</v>
      </c>
      <c r="Q27" s="342">
        <v>1</v>
      </c>
      <c r="R27" s="343">
        <v>1</v>
      </c>
      <c r="S27" s="344">
        <v>0</v>
      </c>
      <c r="T27" s="258" t="s">
        <v>50</v>
      </c>
      <c r="U27" s="345" t="s">
        <v>78</v>
      </c>
      <c r="V27" s="261"/>
      <c r="W27" s="261"/>
      <c r="X27" s="261"/>
      <c r="Y27" s="261"/>
      <c r="Z27" s="261"/>
      <c r="AA27" s="261"/>
      <c r="AB27" s="261"/>
    </row>
    <row r="28" spans="2:28" ht="36" x14ac:dyDescent="0.35">
      <c r="B28" s="80" t="s">
        <v>36</v>
      </c>
      <c r="C28" s="256"/>
      <c r="D28" s="340">
        <v>27085.100000000002</v>
      </c>
      <c r="E28" s="341">
        <v>15.600000000000001</v>
      </c>
      <c r="F28" s="340">
        <v>2339.2556999999979</v>
      </c>
      <c r="G28" s="340" t="s">
        <v>37</v>
      </c>
      <c r="H28" s="340">
        <v>2029.2659103448275</v>
      </c>
      <c r="I28" s="340">
        <v>2029.2659103448275</v>
      </c>
      <c r="J28" s="340">
        <v>29439.955699999999</v>
      </c>
      <c r="K28" s="340">
        <v>38860.741523999997</v>
      </c>
      <c r="L28" s="340" t="s">
        <v>38</v>
      </c>
      <c r="M28" s="341">
        <v>100</v>
      </c>
      <c r="N28" s="261"/>
      <c r="O28" s="341" t="s">
        <v>193</v>
      </c>
      <c r="P28" s="341">
        <v>0</v>
      </c>
      <c r="Q28" s="342">
        <v>1</v>
      </c>
      <c r="R28" s="343">
        <v>1</v>
      </c>
      <c r="S28" s="344">
        <v>0</v>
      </c>
      <c r="T28" s="258" t="s">
        <v>103</v>
      </c>
      <c r="U28" s="345" t="s">
        <v>78</v>
      </c>
      <c r="V28" s="261"/>
      <c r="W28" s="261"/>
      <c r="X28" s="261"/>
      <c r="Y28" s="261"/>
      <c r="Z28" s="261"/>
      <c r="AA28" s="261"/>
      <c r="AB28" s="261"/>
    </row>
    <row r="29" spans="2:28" ht="36" x14ac:dyDescent="0.35">
      <c r="B29" s="80" t="s">
        <v>36</v>
      </c>
      <c r="C29" s="256"/>
      <c r="D29" s="340">
        <v>18639.431999999997</v>
      </c>
      <c r="E29" s="341">
        <v>9750.1238241235915</v>
      </c>
      <c r="F29" s="340">
        <v>10923.241100000003</v>
      </c>
      <c r="G29" s="340" t="s">
        <v>37</v>
      </c>
      <c r="H29" s="340">
        <v>2038.8050413793103</v>
      </c>
      <c r="I29" s="340">
        <v>2038.8050413793103</v>
      </c>
      <c r="J29" s="340">
        <v>39312.796924123591</v>
      </c>
      <c r="K29" s="340">
        <v>51892.891939843146</v>
      </c>
      <c r="L29" s="340" t="s">
        <v>38</v>
      </c>
      <c r="M29" s="341">
        <v>200</v>
      </c>
      <c r="N29" s="261"/>
      <c r="O29" s="341" t="s">
        <v>194</v>
      </c>
      <c r="P29" s="341">
        <v>0</v>
      </c>
      <c r="Q29" s="342">
        <v>0.64</v>
      </c>
      <c r="R29" s="343">
        <v>0.64</v>
      </c>
      <c r="S29" s="344">
        <v>0</v>
      </c>
      <c r="T29" s="258" t="s">
        <v>46</v>
      </c>
      <c r="U29" s="345" t="s">
        <v>89</v>
      </c>
      <c r="V29" s="261"/>
      <c r="W29" s="261"/>
      <c r="X29" s="261"/>
      <c r="Y29" s="261"/>
      <c r="Z29" s="261"/>
      <c r="AA29" s="261"/>
      <c r="AB29" s="261"/>
    </row>
    <row r="30" spans="2:28" ht="36" x14ac:dyDescent="0.35">
      <c r="B30" s="80" t="s">
        <v>43</v>
      </c>
      <c r="C30" s="256"/>
      <c r="D30" s="340">
        <v>18864.16</v>
      </c>
      <c r="E30" s="341">
        <v>3987.3947527749742</v>
      </c>
      <c r="F30" s="340">
        <v>4732.2141999999985</v>
      </c>
      <c r="G30" s="340" t="s">
        <v>37</v>
      </c>
      <c r="H30" s="340">
        <v>1627.3361517241378</v>
      </c>
      <c r="I30" s="340">
        <v>1627.3361517241378</v>
      </c>
      <c r="J30" s="340">
        <v>27583.768952774972</v>
      </c>
      <c r="K30" s="340">
        <v>36410.575017662966</v>
      </c>
      <c r="L30" s="340" t="s">
        <v>38</v>
      </c>
      <c r="M30" s="341">
        <v>100</v>
      </c>
      <c r="N30" s="261"/>
      <c r="O30" s="341" t="s">
        <v>195</v>
      </c>
      <c r="P30" s="341">
        <v>0</v>
      </c>
      <c r="Q30" s="342">
        <v>1</v>
      </c>
      <c r="R30" s="343">
        <v>1</v>
      </c>
      <c r="S30" s="344">
        <v>0</v>
      </c>
      <c r="T30" s="258" t="s">
        <v>40</v>
      </c>
      <c r="U30" s="345" t="s">
        <v>81</v>
      </c>
      <c r="V30" s="261"/>
      <c r="W30" s="261"/>
      <c r="X30" s="261"/>
      <c r="Y30" s="261"/>
      <c r="Z30" s="261"/>
      <c r="AA30" s="261"/>
      <c r="AB30" s="261"/>
    </row>
    <row r="31" spans="2:28" ht="36" x14ac:dyDescent="0.35">
      <c r="B31" s="80" t="s">
        <v>43</v>
      </c>
      <c r="C31" s="256"/>
      <c r="D31" s="340">
        <v>18864.16</v>
      </c>
      <c r="E31" s="341">
        <v>3987.3947527749742</v>
      </c>
      <c r="F31" s="340">
        <v>1748.9095000000016</v>
      </c>
      <c r="G31" s="340" t="s">
        <v>37</v>
      </c>
      <c r="H31" s="340">
        <v>1421.5910000000001</v>
      </c>
      <c r="I31" s="340">
        <v>1421.5910000000001</v>
      </c>
      <c r="J31" s="340">
        <v>24600.464252774975</v>
      </c>
      <c r="K31" s="340">
        <v>32472.612813662967</v>
      </c>
      <c r="L31" s="340" t="s">
        <v>38</v>
      </c>
      <c r="M31" s="341">
        <v>189</v>
      </c>
      <c r="N31" s="261"/>
      <c r="O31" s="341" t="s">
        <v>196</v>
      </c>
      <c r="P31" s="341">
        <v>0</v>
      </c>
      <c r="Q31" s="342">
        <v>1</v>
      </c>
      <c r="R31" s="343">
        <v>1</v>
      </c>
      <c r="S31" s="344">
        <v>0</v>
      </c>
      <c r="T31" s="258" t="s">
        <v>40</v>
      </c>
      <c r="U31" s="345" t="s">
        <v>81</v>
      </c>
      <c r="V31" s="261"/>
      <c r="W31" s="261"/>
      <c r="X31" s="261"/>
      <c r="Y31" s="261"/>
      <c r="Z31" s="261"/>
      <c r="AA31" s="261"/>
      <c r="AB31" s="261"/>
    </row>
    <row r="32" spans="2:28" ht="36" x14ac:dyDescent="0.35">
      <c r="B32" s="80" t="s">
        <v>43</v>
      </c>
      <c r="C32" s="256"/>
      <c r="D32" s="340">
        <v>27194.560000000001</v>
      </c>
      <c r="E32" s="341">
        <v>9391.245828503841</v>
      </c>
      <c r="F32" s="340">
        <v>6657.9603999999999</v>
      </c>
      <c r="G32" s="340" t="s">
        <v>37</v>
      </c>
      <c r="H32" s="340">
        <v>2334.656579310345</v>
      </c>
      <c r="I32" s="340">
        <v>2334.656579310345</v>
      </c>
      <c r="J32" s="340">
        <v>43243.766228503839</v>
      </c>
      <c r="K32" s="340">
        <v>57081.771421625068</v>
      </c>
      <c r="L32" s="340" t="s">
        <v>38</v>
      </c>
      <c r="M32" s="341">
        <v>100</v>
      </c>
      <c r="N32" s="261"/>
      <c r="O32" s="341" t="s">
        <v>197</v>
      </c>
      <c r="P32" s="341">
        <v>0</v>
      </c>
      <c r="Q32" s="342">
        <v>1</v>
      </c>
      <c r="R32" s="343">
        <v>1</v>
      </c>
      <c r="S32" s="344">
        <v>0</v>
      </c>
      <c r="T32" s="258" t="s">
        <v>50</v>
      </c>
      <c r="U32" s="345" t="s">
        <v>78</v>
      </c>
      <c r="V32" s="261"/>
      <c r="W32" s="261"/>
      <c r="X32" s="261"/>
      <c r="Y32" s="261"/>
      <c r="Z32" s="261"/>
      <c r="AA32" s="261"/>
      <c r="AB32" s="261"/>
    </row>
    <row r="33" spans="2:28" ht="36" x14ac:dyDescent="0.35">
      <c r="B33" s="80" t="s">
        <v>43</v>
      </c>
      <c r="C33" s="256"/>
      <c r="D33" s="340">
        <v>27085.100000000002</v>
      </c>
      <c r="E33" s="341">
        <v>9391.245828503841</v>
      </c>
      <c r="F33" s="340">
        <v>4584.2328000000016</v>
      </c>
      <c r="G33" s="340" t="s">
        <v>37</v>
      </c>
      <c r="H33" s="340">
        <v>2184.0919172413796</v>
      </c>
      <c r="I33" s="340">
        <v>2184.0919172413796</v>
      </c>
      <c r="J33" s="340">
        <v>41060.578628503848</v>
      </c>
      <c r="K33" s="340">
        <v>54199.963789625086</v>
      </c>
      <c r="L33" s="340" t="s">
        <v>38</v>
      </c>
      <c r="M33" s="341">
        <v>100</v>
      </c>
      <c r="N33" s="261"/>
      <c r="O33" s="341" t="s">
        <v>198</v>
      </c>
      <c r="P33" s="341">
        <v>0</v>
      </c>
      <c r="Q33" s="342">
        <v>1</v>
      </c>
      <c r="R33" s="343">
        <v>1</v>
      </c>
      <c r="S33" s="344">
        <v>0</v>
      </c>
      <c r="T33" s="258" t="s">
        <v>50</v>
      </c>
      <c r="U33" s="345" t="s">
        <v>78</v>
      </c>
      <c r="V33" s="261"/>
      <c r="W33" s="261"/>
      <c r="X33" s="261"/>
      <c r="Y33" s="261"/>
      <c r="Z33" s="261"/>
      <c r="AA33" s="261"/>
      <c r="AB33" s="261"/>
    </row>
    <row r="34" spans="2:28" ht="36" x14ac:dyDescent="0.35">
      <c r="B34" s="80" t="s">
        <v>43</v>
      </c>
      <c r="C34" s="256"/>
      <c r="D34" s="340">
        <v>23664.34</v>
      </c>
      <c r="E34" s="341">
        <v>2091.9003529411771</v>
      </c>
      <c r="F34" s="340">
        <v>1335.6599999999999</v>
      </c>
      <c r="G34" s="340" t="s">
        <v>37</v>
      </c>
      <c r="H34" s="340">
        <v>1724.1379310344828</v>
      </c>
      <c r="I34" s="340">
        <v>1724.1379310344828</v>
      </c>
      <c r="J34" s="340">
        <v>27091.900352941178</v>
      </c>
      <c r="K34" s="340">
        <v>35761.308465882357</v>
      </c>
      <c r="L34" s="340" t="s">
        <v>38</v>
      </c>
      <c r="M34" s="341">
        <v>421</v>
      </c>
      <c r="N34" s="261"/>
      <c r="O34" s="341" t="s">
        <v>199</v>
      </c>
      <c r="P34" s="341" t="s">
        <v>200</v>
      </c>
      <c r="Q34" s="342">
        <v>1</v>
      </c>
      <c r="R34" s="343">
        <v>1</v>
      </c>
      <c r="S34" s="344" t="s">
        <v>200</v>
      </c>
      <c r="T34" s="258" t="s">
        <v>201</v>
      </c>
      <c r="U34" s="345" t="s">
        <v>72</v>
      </c>
      <c r="V34" s="261"/>
      <c r="W34" s="261"/>
      <c r="X34" s="261"/>
      <c r="Y34" s="261"/>
      <c r="Z34" s="261"/>
      <c r="AA34" s="261"/>
      <c r="AB34" s="261"/>
    </row>
    <row r="35" spans="2:28" x14ac:dyDescent="0.35">
      <c r="B35" s="80"/>
      <c r="C35" s="80"/>
      <c r="D35" s="80"/>
      <c r="E35" s="80"/>
      <c r="F35" s="80"/>
      <c r="G35" s="80"/>
      <c r="H35" s="80"/>
      <c r="I35" s="80"/>
      <c r="J35" s="80"/>
      <c r="K35" s="340">
        <v>400.4000000000002</v>
      </c>
      <c r="L35" s="80"/>
      <c r="M35" s="341" t="s">
        <v>90</v>
      </c>
      <c r="N35" s="80"/>
      <c r="O35" s="80"/>
      <c r="P35" s="80"/>
      <c r="Q35" s="80"/>
      <c r="R35" s="80"/>
      <c r="S35" s="80"/>
      <c r="T35" s="258" t="s">
        <v>202</v>
      </c>
      <c r="U35" s="396"/>
      <c r="V35" s="80"/>
      <c r="W35" s="80"/>
      <c r="X35" s="80"/>
      <c r="Y35" s="80"/>
      <c r="Z35" s="80"/>
      <c r="AA35" s="80"/>
      <c r="AB35" s="80"/>
    </row>
    <row r="36" spans="2:28" s="20" customFormat="1" ht="12" x14ac:dyDescent="0.3">
      <c r="W36" s="34"/>
    </row>
    <row r="37" spans="2:28" s="20" customFormat="1" ht="19" thickBot="1" x14ac:dyDescent="0.5">
      <c r="B37" s="18" t="s">
        <v>17</v>
      </c>
      <c r="C37" s="1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</row>
    <row r="38" spans="2:28" s="20" customFormat="1" ht="32" thickBot="1" x14ac:dyDescent="0.35">
      <c r="B38" s="2" t="s">
        <v>344</v>
      </c>
      <c r="C38" s="2" t="s">
        <v>2</v>
      </c>
      <c r="D38" s="2" t="s">
        <v>21</v>
      </c>
      <c r="E38" s="2" t="s">
        <v>1</v>
      </c>
      <c r="F38" s="2" t="s">
        <v>22</v>
      </c>
      <c r="G38" s="2" t="s">
        <v>14</v>
      </c>
      <c r="H38" s="2" t="s">
        <v>18</v>
      </c>
      <c r="I38" s="2" t="s">
        <v>15</v>
      </c>
      <c r="J38" s="2" t="s">
        <v>10</v>
      </c>
      <c r="K38" s="2" t="s">
        <v>23</v>
      </c>
      <c r="L38" s="2" t="s">
        <v>16</v>
      </c>
      <c r="M38" s="2" t="s">
        <v>3</v>
      </c>
      <c r="N38" s="2" t="s">
        <v>11</v>
      </c>
      <c r="O38" s="2" t="s">
        <v>4</v>
      </c>
      <c r="P38" s="2" t="s">
        <v>5</v>
      </c>
      <c r="Q38" s="2" t="s">
        <v>24</v>
      </c>
      <c r="R38" s="2" t="s">
        <v>25</v>
      </c>
      <c r="S38" s="2" t="s">
        <v>26</v>
      </c>
      <c r="T38" s="2" t="s">
        <v>27</v>
      </c>
      <c r="U38" s="2" t="s">
        <v>6</v>
      </c>
      <c r="V38" s="2" t="s">
        <v>7</v>
      </c>
      <c r="W38" s="2" t="s">
        <v>28</v>
      </c>
      <c r="X38" s="2" t="s">
        <v>29</v>
      </c>
      <c r="Y38" s="2" t="s">
        <v>30</v>
      </c>
      <c r="Z38" s="2" t="s">
        <v>31</v>
      </c>
      <c r="AA38" s="3" t="s">
        <v>8</v>
      </c>
      <c r="AB38" s="3" t="s">
        <v>9</v>
      </c>
    </row>
    <row r="39" spans="2:28" s="20" customFormat="1" x14ac:dyDescent="0.3">
      <c r="B39" s="4"/>
      <c r="C39" s="35"/>
      <c r="D39" s="5"/>
      <c r="E39" s="5"/>
      <c r="F39" s="5"/>
      <c r="G39" s="5"/>
      <c r="H39" s="5"/>
      <c r="I39" s="5"/>
      <c r="J39" s="5"/>
      <c r="K39" s="5"/>
      <c r="L39" s="4"/>
      <c r="M39" s="4"/>
      <c r="N39" s="4"/>
      <c r="O39" s="6"/>
      <c r="P39" s="7"/>
      <c r="Q39" s="8"/>
      <c r="R39" s="8"/>
      <c r="S39" s="8"/>
      <c r="T39" s="9"/>
      <c r="U39" s="9"/>
      <c r="V39" s="10"/>
      <c r="W39" s="36"/>
      <c r="X39" s="36" t="s">
        <v>0</v>
      </c>
      <c r="Y39" s="36"/>
      <c r="Z39" s="36"/>
      <c r="AA39" s="36"/>
      <c r="AB39" s="36"/>
    </row>
    <row r="40" spans="2:28" s="20" customFormat="1" x14ac:dyDescent="0.3">
      <c r="B40" s="4"/>
      <c r="C40" s="31"/>
      <c r="D40" s="5"/>
      <c r="E40" s="5"/>
      <c r="F40" s="5"/>
      <c r="G40" s="5"/>
      <c r="H40" s="5"/>
      <c r="I40" s="5"/>
      <c r="J40" s="5"/>
      <c r="K40" s="5"/>
      <c r="L40" s="4"/>
      <c r="M40" s="4"/>
      <c r="N40" s="4"/>
      <c r="O40" s="6"/>
      <c r="P40" s="7"/>
      <c r="Q40" s="8"/>
      <c r="R40" s="8"/>
      <c r="S40" s="8"/>
      <c r="T40" s="9"/>
      <c r="U40" s="9"/>
      <c r="V40" s="10"/>
      <c r="W40" s="36"/>
      <c r="X40" s="36"/>
      <c r="Y40" s="36"/>
      <c r="Z40" s="36"/>
      <c r="AA40" s="36"/>
      <c r="AB40" s="36"/>
    </row>
    <row r="41" spans="2:28" s="20" customFormat="1" x14ac:dyDescent="0.3">
      <c r="B41" s="4"/>
      <c r="C41" s="31"/>
      <c r="D41" s="5"/>
      <c r="E41" s="5"/>
      <c r="F41" s="5"/>
      <c r="G41" s="5"/>
      <c r="H41" s="5"/>
      <c r="I41" s="5"/>
      <c r="J41" s="5"/>
      <c r="K41" s="5"/>
      <c r="L41" s="4"/>
      <c r="M41" s="4"/>
      <c r="N41" s="4"/>
      <c r="O41" s="6"/>
      <c r="P41" s="7"/>
      <c r="Q41" s="8"/>
      <c r="R41" s="8"/>
      <c r="S41" s="8"/>
      <c r="T41" s="9"/>
      <c r="U41" s="9"/>
      <c r="V41" s="10"/>
      <c r="W41" s="36"/>
      <c r="X41" s="36"/>
      <c r="Y41" s="36"/>
      <c r="Z41" s="36"/>
      <c r="AA41" s="36"/>
      <c r="AB41" s="36"/>
    </row>
    <row r="42" spans="2:28" s="20" customFormat="1" x14ac:dyDescent="0.3">
      <c r="B42" s="11"/>
      <c r="C42" s="31"/>
      <c r="D42" s="12"/>
      <c r="E42" s="12"/>
      <c r="F42" s="12"/>
      <c r="G42" s="12"/>
      <c r="H42" s="12"/>
      <c r="I42" s="12"/>
      <c r="J42" s="12"/>
      <c r="K42" s="12"/>
      <c r="L42" s="11"/>
      <c r="M42" s="11"/>
      <c r="N42" s="11"/>
      <c r="O42" s="37"/>
      <c r="P42" s="13"/>
      <c r="Q42" s="14"/>
      <c r="R42" s="14"/>
      <c r="S42" s="14"/>
      <c r="T42" s="38"/>
      <c r="U42" s="38"/>
      <c r="V42" s="15"/>
      <c r="W42" s="39"/>
      <c r="X42" s="39"/>
      <c r="Y42" s="39"/>
      <c r="Z42" s="39"/>
      <c r="AA42" s="39"/>
      <c r="AB42" s="39"/>
    </row>
    <row r="43" spans="2:28" s="20" customFormat="1" x14ac:dyDescent="0.3">
      <c r="B43" s="11"/>
      <c r="C43" s="31"/>
      <c r="D43" s="12"/>
      <c r="E43" s="12"/>
      <c r="F43" s="12"/>
      <c r="G43" s="12"/>
      <c r="H43" s="12"/>
      <c r="I43" s="12"/>
      <c r="J43" s="12"/>
      <c r="K43" s="12"/>
      <c r="L43" s="11"/>
      <c r="M43" s="11"/>
      <c r="N43" s="11"/>
      <c r="O43" s="37"/>
      <c r="P43" s="13"/>
      <c r="Q43" s="14"/>
      <c r="R43" s="14"/>
      <c r="S43" s="14"/>
      <c r="T43" s="38"/>
      <c r="U43" s="38"/>
      <c r="V43" s="16"/>
      <c r="W43" s="39"/>
      <c r="X43" s="39"/>
      <c r="Y43" s="39"/>
      <c r="Z43" s="39"/>
      <c r="AA43" s="39"/>
      <c r="AB43" s="39"/>
    </row>
    <row r="44" spans="2:28" s="20" customFormat="1" x14ac:dyDescent="0.3">
      <c r="B44" s="11"/>
      <c r="C44" s="31"/>
      <c r="D44" s="12"/>
      <c r="E44" s="12"/>
      <c r="F44" s="12"/>
      <c r="G44" s="12"/>
      <c r="H44" s="12"/>
      <c r="I44" s="12"/>
      <c r="J44" s="12"/>
      <c r="K44" s="12"/>
      <c r="L44" s="11"/>
      <c r="M44" s="11"/>
      <c r="N44" s="11"/>
      <c r="O44" s="37"/>
      <c r="P44" s="13"/>
      <c r="Q44" s="14"/>
      <c r="R44" s="14"/>
      <c r="S44" s="14"/>
      <c r="T44" s="38"/>
      <c r="U44" s="38"/>
      <c r="V44" s="16"/>
      <c r="W44" s="39"/>
      <c r="X44" s="39"/>
      <c r="Y44" s="39"/>
      <c r="Z44" s="39"/>
      <c r="AA44" s="39"/>
      <c r="AB44" s="39"/>
    </row>
    <row r="45" spans="2:28" s="20" customFormat="1" ht="12" x14ac:dyDescent="0.3">
      <c r="W45" s="34"/>
    </row>
    <row r="46" spans="2:28" s="20" customFormat="1" ht="12" x14ac:dyDescent="0.3">
      <c r="W46" s="34"/>
    </row>
    <row r="47" spans="2:28" s="20" customFormat="1" ht="12" x14ac:dyDescent="0.3">
      <c r="W47" s="34"/>
    </row>
    <row r="48" spans="2:28" s="20" customFormat="1" ht="12" x14ac:dyDescent="0.3">
      <c r="W48" s="34"/>
    </row>
    <row r="49" spans="23:37" s="20" customFormat="1" ht="12" x14ac:dyDescent="0.3">
      <c r="W49" s="34"/>
    </row>
    <row r="50" spans="23:37" s="20" customFormat="1" ht="12" x14ac:dyDescent="0.3">
      <c r="W50" s="34"/>
    </row>
    <row r="51" spans="23:37" s="20" customFormat="1" ht="12" x14ac:dyDescent="0.3">
      <c r="W51" s="34"/>
    </row>
    <row r="52" spans="23:37" s="20" customFormat="1" ht="12" x14ac:dyDescent="0.3">
      <c r="W52" s="34"/>
    </row>
    <row r="53" spans="23:37" s="20" customFormat="1" ht="12" x14ac:dyDescent="0.3">
      <c r="W53" s="34"/>
    </row>
    <row r="54" spans="23:37" s="20" customFormat="1" ht="12" x14ac:dyDescent="0.3">
      <c r="W54" s="34"/>
    </row>
    <row r="55" spans="23:37" s="20" customFormat="1" ht="12" x14ac:dyDescent="0.3">
      <c r="W55" s="34"/>
    </row>
    <row r="56" spans="23:37" s="20" customFormat="1" x14ac:dyDescent="0.35">
      <c r="W56" s="34"/>
      <c r="AG56"/>
      <c r="AH56"/>
      <c r="AI56"/>
      <c r="AJ56"/>
      <c r="AK56"/>
    </row>
    <row r="57" spans="23:37" s="20" customFormat="1" x14ac:dyDescent="0.35">
      <c r="W57" s="34"/>
      <c r="AG57"/>
      <c r="AH57"/>
      <c r="AI57"/>
      <c r="AJ57"/>
      <c r="AK57"/>
    </row>
    <row r="58" spans="23:37" s="20" customFormat="1" x14ac:dyDescent="0.35">
      <c r="W58" s="34"/>
      <c r="AG58"/>
      <c r="AH58"/>
      <c r="AI58"/>
      <c r="AJ58"/>
      <c r="AK58"/>
    </row>
    <row r="59" spans="23:37" s="20" customFormat="1" x14ac:dyDescent="0.35">
      <c r="W59" s="34"/>
      <c r="AG59"/>
      <c r="AH59"/>
      <c r="AI59"/>
      <c r="AJ59"/>
      <c r="AK59"/>
    </row>
  </sheetData>
  <autoFilter ref="B9:AD35"/>
  <mergeCells count="3">
    <mergeCell ref="C4:E4"/>
    <mergeCell ref="C5:D5"/>
    <mergeCell ref="C6:D6"/>
  </mergeCells>
  <pageMargins left="0.7" right="0.7" top="0.75" bottom="0.75" header="0.3" footer="0.3"/>
  <pageSetup paperSize="9" scale="2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63"/>
  <sheetViews>
    <sheetView zoomScaleNormal="100" workbookViewId="0">
      <selection activeCell="B2" sqref="B2:AB53"/>
    </sheetView>
  </sheetViews>
  <sheetFormatPr defaultColWidth="11.453125" defaultRowHeight="14.5" x14ac:dyDescent="0.35"/>
  <cols>
    <col min="1" max="1" width="6.81640625" customWidth="1"/>
    <col min="2" max="2" width="20.453125" style="20" customWidth="1"/>
    <col min="3" max="3" width="13.54296875" customWidth="1"/>
    <col min="4" max="4" width="13.54296875" style="20" customWidth="1"/>
    <col min="5" max="15" width="25.54296875" customWidth="1"/>
    <col min="16" max="16" width="18.81640625" customWidth="1"/>
    <col min="17" max="17" width="19.54296875" customWidth="1"/>
    <col min="18" max="18" width="15.453125" customWidth="1"/>
    <col min="19" max="22" width="25.54296875" customWidth="1"/>
    <col min="23" max="23" width="22.1796875" style="21" customWidth="1"/>
    <col min="24" max="24" width="29.453125" customWidth="1"/>
    <col min="25" max="30" width="25.54296875" customWidth="1"/>
  </cols>
  <sheetData>
    <row r="2" spans="2:28" ht="18.5" x14ac:dyDescent="0.45">
      <c r="B2" s="18" t="s">
        <v>13</v>
      </c>
      <c r="C2" s="1"/>
    </row>
    <row r="3" spans="2:28" x14ac:dyDescent="0.35">
      <c r="B3" s="22"/>
      <c r="C3" s="23"/>
      <c r="F3" s="23"/>
      <c r="Q3" s="23"/>
      <c r="R3" s="23"/>
      <c r="S3" s="23"/>
    </row>
    <row r="4" spans="2:28" ht="15.5" x14ac:dyDescent="0.35">
      <c r="B4" s="24" t="s">
        <v>12</v>
      </c>
      <c r="C4" s="423" t="s">
        <v>33</v>
      </c>
      <c r="D4" s="424"/>
      <c r="E4" s="428"/>
      <c r="Q4" s="23"/>
      <c r="R4" s="23"/>
      <c r="S4" s="23"/>
    </row>
    <row r="5" spans="2:28" ht="15.5" x14ac:dyDescent="0.35">
      <c r="B5" s="24" t="s">
        <v>20</v>
      </c>
      <c r="C5" s="423" t="s">
        <v>203</v>
      </c>
      <c r="D5" s="424" t="s">
        <v>34</v>
      </c>
      <c r="E5" s="49"/>
      <c r="Q5" s="23"/>
      <c r="R5" s="23"/>
      <c r="S5" s="23"/>
    </row>
    <row r="6" spans="2:28" ht="15.5" x14ac:dyDescent="0.35">
      <c r="B6" s="25" t="s">
        <v>19</v>
      </c>
      <c r="C6" s="423" t="s">
        <v>204</v>
      </c>
      <c r="D6" s="424"/>
      <c r="E6" s="49"/>
      <c r="Q6" s="23"/>
      <c r="R6" s="23"/>
      <c r="S6" s="23"/>
    </row>
    <row r="7" spans="2:28" ht="15.5" x14ac:dyDescent="0.35">
      <c r="B7" s="24" t="s">
        <v>32</v>
      </c>
      <c r="C7" s="47">
        <v>45629</v>
      </c>
      <c r="D7" s="48"/>
      <c r="E7" s="50"/>
    </row>
    <row r="8" spans="2:28" ht="15" thickBot="1" x14ac:dyDescent="0.4">
      <c r="B8" s="29"/>
      <c r="G8" s="27"/>
      <c r="N8" s="26"/>
      <c r="O8" s="30"/>
      <c r="P8" s="26"/>
      <c r="Q8" s="28"/>
    </row>
    <row r="9" spans="2:28" ht="33.75" customHeight="1" thickBot="1" x14ac:dyDescent="0.4">
      <c r="B9" s="2" t="s">
        <v>344</v>
      </c>
      <c r="C9" s="2" t="s">
        <v>2</v>
      </c>
      <c r="D9" s="2" t="s">
        <v>21</v>
      </c>
      <c r="E9" s="2" t="s">
        <v>1</v>
      </c>
      <c r="F9" s="2" t="s">
        <v>22</v>
      </c>
      <c r="G9" s="2" t="s">
        <v>14</v>
      </c>
      <c r="H9" s="2" t="s">
        <v>18</v>
      </c>
      <c r="I9" s="2" t="s">
        <v>15</v>
      </c>
      <c r="J9" s="2" t="s">
        <v>10</v>
      </c>
      <c r="K9" s="2" t="s">
        <v>23</v>
      </c>
      <c r="L9" s="2" t="s">
        <v>16</v>
      </c>
      <c r="M9" s="2" t="s">
        <v>3</v>
      </c>
      <c r="N9" s="2" t="s">
        <v>11</v>
      </c>
      <c r="O9" s="2" t="s">
        <v>4</v>
      </c>
      <c r="P9" s="2" t="s">
        <v>5</v>
      </c>
      <c r="Q9" s="2" t="s">
        <v>24</v>
      </c>
      <c r="R9" s="2" t="s">
        <v>25</v>
      </c>
      <c r="S9" s="2" t="s">
        <v>26</v>
      </c>
      <c r="T9" s="2" t="s">
        <v>27</v>
      </c>
      <c r="U9" s="2" t="s">
        <v>6</v>
      </c>
      <c r="V9" s="2" t="s">
        <v>7</v>
      </c>
      <c r="W9" s="2" t="s">
        <v>28</v>
      </c>
      <c r="X9" s="2" t="s">
        <v>29</v>
      </c>
      <c r="Y9" s="2" t="s">
        <v>30</v>
      </c>
      <c r="Z9" s="2" t="s">
        <v>31</v>
      </c>
      <c r="AA9" s="3" t="s">
        <v>8</v>
      </c>
      <c r="AB9" s="57" t="s">
        <v>9</v>
      </c>
    </row>
    <row r="10" spans="2:28" ht="36" x14ac:dyDescent="0.35">
      <c r="B10" s="275" t="s">
        <v>43</v>
      </c>
      <c r="C10" s="400"/>
      <c r="D10" s="340">
        <v>32175.03</v>
      </c>
      <c r="E10" s="401">
        <v>2823.1609271523184</v>
      </c>
      <c r="F10" s="340">
        <v>42099.539600000018</v>
      </c>
      <c r="G10" s="365" t="s">
        <v>37</v>
      </c>
      <c r="H10" s="365">
        <v>5122.3841103448285</v>
      </c>
      <c r="I10" s="365">
        <v>5122.3841103448285</v>
      </c>
      <c r="J10" s="340">
        <v>77097.730527152336</v>
      </c>
      <c r="K10" s="340">
        <v>95197.730527152336</v>
      </c>
      <c r="L10" s="365" t="s">
        <v>38</v>
      </c>
      <c r="M10" s="401">
        <v>100</v>
      </c>
      <c r="N10" s="281"/>
      <c r="O10" s="401" t="s">
        <v>205</v>
      </c>
      <c r="P10" s="401">
        <v>0</v>
      </c>
      <c r="Q10" s="402">
        <v>1</v>
      </c>
      <c r="R10" s="403">
        <v>1</v>
      </c>
      <c r="S10" s="404">
        <v>0</v>
      </c>
      <c r="T10" s="74" t="s">
        <v>127</v>
      </c>
      <c r="U10" s="405" t="s">
        <v>128</v>
      </c>
      <c r="V10" s="281"/>
      <c r="W10" s="281"/>
      <c r="X10" s="281"/>
      <c r="Y10" s="281"/>
      <c r="Z10" s="281"/>
      <c r="AA10" s="281"/>
      <c r="AB10" s="261"/>
    </row>
    <row r="11" spans="2:28" ht="36" x14ac:dyDescent="0.35">
      <c r="B11" s="275" t="s">
        <v>43</v>
      </c>
      <c r="C11" s="256"/>
      <c r="D11" s="340">
        <v>32088.98</v>
      </c>
      <c r="E11" s="401">
        <v>11655.644303267974</v>
      </c>
      <c r="F11" s="340">
        <v>47248.354200000016</v>
      </c>
      <c r="G11" s="365" t="s">
        <v>37</v>
      </c>
      <c r="H11" s="365">
        <v>5471.5402896551732</v>
      </c>
      <c r="I11" s="365">
        <v>5471.5402896551732</v>
      </c>
      <c r="J11" s="340">
        <v>90992.978503267979</v>
      </c>
      <c r="K11" s="340">
        <v>109092.97850326798</v>
      </c>
      <c r="L11" s="340" t="s">
        <v>38</v>
      </c>
      <c r="M11" s="401">
        <v>100</v>
      </c>
      <c r="N11" s="261"/>
      <c r="O11" s="401" t="s">
        <v>206</v>
      </c>
      <c r="P11" s="401">
        <v>0</v>
      </c>
      <c r="Q11" s="402">
        <v>1</v>
      </c>
      <c r="R11" s="403">
        <v>1</v>
      </c>
      <c r="S11" s="404">
        <v>0</v>
      </c>
      <c r="T11" s="74" t="s">
        <v>61</v>
      </c>
      <c r="U11" s="405" t="s">
        <v>47</v>
      </c>
      <c r="V11" s="261"/>
      <c r="W11" s="261"/>
      <c r="X11" s="261"/>
      <c r="Y11" s="261"/>
      <c r="Z11" s="261"/>
      <c r="AA11" s="261"/>
      <c r="AB11" s="261"/>
    </row>
    <row r="12" spans="2:28" ht="36" x14ac:dyDescent="0.35">
      <c r="B12" s="275" t="s">
        <v>43</v>
      </c>
      <c r="C12" s="256"/>
      <c r="D12" s="340">
        <v>29788.87</v>
      </c>
      <c r="E12" s="401">
        <v>2961.4411162790702</v>
      </c>
      <c r="F12" s="340">
        <v>23428.055350000006</v>
      </c>
      <c r="G12" s="365" t="s">
        <v>37</v>
      </c>
      <c r="H12" s="365">
        <v>3670.132782758621</v>
      </c>
      <c r="I12" s="365">
        <v>3670.132782758621</v>
      </c>
      <c r="J12" s="340">
        <v>56178.366466279076</v>
      </c>
      <c r="K12" s="340">
        <v>74155.443735488385</v>
      </c>
      <c r="L12" s="340" t="s">
        <v>38</v>
      </c>
      <c r="M12" s="401">
        <v>100</v>
      </c>
      <c r="N12" s="261"/>
      <c r="O12" s="401" t="s">
        <v>207</v>
      </c>
      <c r="P12" s="401">
        <v>0</v>
      </c>
      <c r="Q12" s="402">
        <v>1</v>
      </c>
      <c r="R12" s="403">
        <v>1</v>
      </c>
      <c r="S12" s="404">
        <v>0</v>
      </c>
      <c r="T12" s="74" t="s">
        <v>68</v>
      </c>
      <c r="U12" s="405" t="s">
        <v>51</v>
      </c>
      <c r="V12" s="261"/>
      <c r="W12" s="261"/>
      <c r="X12" s="261"/>
      <c r="Y12" s="261"/>
      <c r="Z12" s="261"/>
      <c r="AA12" s="261"/>
      <c r="AB12" s="261"/>
    </row>
    <row r="13" spans="2:28" ht="36" x14ac:dyDescent="0.35">
      <c r="B13" s="275" t="s">
        <v>43</v>
      </c>
      <c r="C13" s="256"/>
      <c r="D13" s="340">
        <v>21323.319999999996</v>
      </c>
      <c r="E13" s="401">
        <v>3987.3947527749742</v>
      </c>
      <c r="F13" s="340">
        <v>2443.4773000000023</v>
      </c>
      <c r="G13" s="365" t="s">
        <v>37</v>
      </c>
      <c r="H13" s="365">
        <v>1639.0894689655172</v>
      </c>
      <c r="I13" s="365">
        <v>1639.0894689655172</v>
      </c>
      <c r="J13" s="340">
        <v>27754.192052774972</v>
      </c>
      <c r="K13" s="340">
        <v>36635.533509662964</v>
      </c>
      <c r="L13" s="340" t="s">
        <v>38</v>
      </c>
      <c r="M13" s="401">
        <v>100</v>
      </c>
      <c r="N13" s="261"/>
      <c r="O13" s="401" t="s">
        <v>208</v>
      </c>
      <c r="P13" s="401">
        <v>0</v>
      </c>
      <c r="Q13" s="402">
        <v>1</v>
      </c>
      <c r="R13" s="403">
        <v>1</v>
      </c>
      <c r="S13" s="404">
        <v>0</v>
      </c>
      <c r="T13" s="74" t="s">
        <v>40</v>
      </c>
      <c r="U13" s="405" t="s">
        <v>41</v>
      </c>
      <c r="V13" s="261"/>
      <c r="W13" s="261"/>
      <c r="X13" s="261"/>
      <c r="Y13" s="261"/>
      <c r="Z13" s="261"/>
      <c r="AA13" s="261"/>
      <c r="AB13" s="261"/>
    </row>
    <row r="14" spans="2:28" ht="36" x14ac:dyDescent="0.35">
      <c r="B14" s="275" t="s">
        <v>36</v>
      </c>
      <c r="C14" s="256"/>
      <c r="D14" s="340">
        <v>29463.67</v>
      </c>
      <c r="E14" s="401">
        <v>9391.245828503841</v>
      </c>
      <c r="F14" s="340">
        <v>10456.672449999998</v>
      </c>
      <c r="G14" s="365" t="s">
        <v>37</v>
      </c>
      <c r="H14" s="365">
        <v>2753.1270655172411</v>
      </c>
      <c r="I14" s="365">
        <v>2753.1270655172411</v>
      </c>
      <c r="J14" s="340">
        <v>49311.588278503841</v>
      </c>
      <c r="K14" s="340">
        <v>65091.296527625076</v>
      </c>
      <c r="L14" s="340" t="s">
        <v>38</v>
      </c>
      <c r="M14" s="401">
        <v>100</v>
      </c>
      <c r="N14" s="261"/>
      <c r="O14" s="401" t="s">
        <v>209</v>
      </c>
      <c r="P14" s="401">
        <v>0</v>
      </c>
      <c r="Q14" s="402">
        <v>1</v>
      </c>
      <c r="R14" s="403">
        <v>1</v>
      </c>
      <c r="S14" s="404">
        <v>0</v>
      </c>
      <c r="T14" s="74" t="s">
        <v>50</v>
      </c>
      <c r="U14" s="405" t="s">
        <v>51</v>
      </c>
      <c r="V14" s="261"/>
      <c r="W14" s="261"/>
      <c r="X14" s="261"/>
      <c r="Y14" s="261"/>
      <c r="Z14" s="261"/>
      <c r="AA14" s="261"/>
      <c r="AB14" s="261"/>
    </row>
    <row r="15" spans="2:28" ht="36" x14ac:dyDescent="0.35">
      <c r="B15" s="275" t="s">
        <v>43</v>
      </c>
      <c r="C15" s="256"/>
      <c r="D15" s="340">
        <v>29392.14</v>
      </c>
      <c r="E15" s="401">
        <v>9391.245828503841</v>
      </c>
      <c r="F15" s="340">
        <v>9843.2704999999987</v>
      </c>
      <c r="G15" s="365" t="s">
        <v>37</v>
      </c>
      <c r="H15" s="365">
        <v>2705.8903793103445</v>
      </c>
      <c r="I15" s="365">
        <v>2705.8903793103445</v>
      </c>
      <c r="J15" s="340">
        <v>48626.656328503843</v>
      </c>
      <c r="K15" s="340">
        <v>64187.186353625075</v>
      </c>
      <c r="L15" s="340" t="s">
        <v>38</v>
      </c>
      <c r="M15" s="401">
        <v>100</v>
      </c>
      <c r="N15" s="261"/>
      <c r="O15" s="401" t="s">
        <v>210</v>
      </c>
      <c r="P15" s="401">
        <v>0</v>
      </c>
      <c r="Q15" s="402">
        <v>1</v>
      </c>
      <c r="R15" s="403">
        <v>1</v>
      </c>
      <c r="S15" s="404">
        <v>0</v>
      </c>
      <c r="T15" s="74" t="s">
        <v>50</v>
      </c>
      <c r="U15" s="405" t="s">
        <v>51</v>
      </c>
      <c r="V15" s="261"/>
      <c r="W15" s="261"/>
      <c r="X15" s="261"/>
      <c r="Y15" s="261"/>
      <c r="Z15" s="261"/>
      <c r="AA15" s="261"/>
      <c r="AB15" s="261"/>
    </row>
    <row r="16" spans="2:28" ht="36" x14ac:dyDescent="0.35">
      <c r="B16" s="275" t="s">
        <v>43</v>
      </c>
      <c r="C16" s="256"/>
      <c r="D16" s="340">
        <v>29366.54</v>
      </c>
      <c r="E16" s="401">
        <v>9391.245828503841</v>
      </c>
      <c r="F16" s="340">
        <v>10219.259399999995</v>
      </c>
      <c r="G16" s="365" t="s">
        <v>37</v>
      </c>
      <c r="H16" s="365">
        <v>2730.0551310344827</v>
      </c>
      <c r="I16" s="365">
        <v>2730.0551310344827</v>
      </c>
      <c r="J16" s="340">
        <v>48977.045228503834</v>
      </c>
      <c r="K16" s="340">
        <v>64649.699701625061</v>
      </c>
      <c r="L16" s="340" t="s">
        <v>38</v>
      </c>
      <c r="M16" s="401">
        <v>100</v>
      </c>
      <c r="N16" s="261"/>
      <c r="O16" s="401" t="s">
        <v>211</v>
      </c>
      <c r="P16" s="401">
        <v>0</v>
      </c>
      <c r="Q16" s="402">
        <v>1</v>
      </c>
      <c r="R16" s="403">
        <v>1</v>
      </c>
      <c r="S16" s="404">
        <v>0</v>
      </c>
      <c r="T16" s="74" t="s">
        <v>50</v>
      </c>
      <c r="U16" s="405" t="s">
        <v>51</v>
      </c>
      <c r="V16" s="261"/>
      <c r="W16" s="261"/>
      <c r="X16" s="261"/>
      <c r="Y16" s="261"/>
      <c r="Z16" s="261"/>
      <c r="AA16" s="261"/>
      <c r="AB16" s="261"/>
    </row>
    <row r="17" spans="2:35" ht="36" x14ac:dyDescent="0.35">
      <c r="B17" s="275" t="s">
        <v>43</v>
      </c>
      <c r="C17" s="256"/>
      <c r="D17" s="340">
        <v>20901.169999999998</v>
      </c>
      <c r="E17" s="401">
        <v>3987.3947527749742</v>
      </c>
      <c r="F17" s="340">
        <v>2721.4414499999984</v>
      </c>
      <c r="G17" s="340" t="s">
        <v>37</v>
      </c>
      <c r="H17" s="340">
        <v>1629.1456172413791</v>
      </c>
      <c r="I17" s="340">
        <v>1629.1456172413791</v>
      </c>
      <c r="J17" s="340">
        <v>27610.00620277497</v>
      </c>
      <c r="K17" s="340">
        <v>36445.20818766296</v>
      </c>
      <c r="L17" s="340" t="s">
        <v>38</v>
      </c>
      <c r="M17" s="401">
        <v>100</v>
      </c>
      <c r="N17" s="261"/>
      <c r="O17" s="401" t="s">
        <v>212</v>
      </c>
      <c r="P17" s="401">
        <v>0</v>
      </c>
      <c r="Q17" s="402">
        <v>1</v>
      </c>
      <c r="R17" s="403">
        <v>1</v>
      </c>
      <c r="S17" s="404">
        <v>0</v>
      </c>
      <c r="T17" s="74" t="s">
        <v>40</v>
      </c>
      <c r="U17" s="405" t="s">
        <v>41</v>
      </c>
      <c r="V17" s="261"/>
      <c r="W17" s="261"/>
      <c r="X17" s="261"/>
      <c r="Y17" s="261"/>
      <c r="Z17" s="261"/>
      <c r="AA17" s="261"/>
      <c r="AB17" s="261"/>
      <c r="AE17" s="30"/>
      <c r="AG17" s="30"/>
      <c r="AI17" s="30"/>
    </row>
    <row r="18" spans="2:35" ht="36" x14ac:dyDescent="0.35">
      <c r="B18" s="275" t="s">
        <v>43</v>
      </c>
      <c r="C18" s="256"/>
      <c r="D18" s="340">
        <v>29315.84</v>
      </c>
      <c r="E18" s="401">
        <v>9391.245828503841</v>
      </c>
      <c r="F18" s="340">
        <v>10251.494999999999</v>
      </c>
      <c r="G18" s="340" t="s">
        <v>37</v>
      </c>
      <c r="H18" s="340">
        <v>2728.7817241379312</v>
      </c>
      <c r="I18" s="340">
        <v>2728.7817241379312</v>
      </c>
      <c r="J18" s="340">
        <v>48958.580828503837</v>
      </c>
      <c r="K18" s="340">
        <v>64625.326693625066</v>
      </c>
      <c r="L18" s="340" t="s">
        <v>38</v>
      </c>
      <c r="M18" s="401">
        <v>100</v>
      </c>
      <c r="N18" s="261"/>
      <c r="O18" s="401" t="s">
        <v>213</v>
      </c>
      <c r="P18" s="401">
        <v>0</v>
      </c>
      <c r="Q18" s="402">
        <v>1</v>
      </c>
      <c r="R18" s="403">
        <v>1</v>
      </c>
      <c r="S18" s="404">
        <v>0</v>
      </c>
      <c r="T18" s="74" t="s">
        <v>50</v>
      </c>
      <c r="U18" s="405" t="s">
        <v>51</v>
      </c>
      <c r="V18" s="261"/>
      <c r="W18" s="261"/>
      <c r="X18" s="261"/>
      <c r="Y18" s="261"/>
      <c r="Z18" s="261"/>
      <c r="AA18" s="261"/>
      <c r="AB18" s="261"/>
      <c r="AE18" s="43"/>
      <c r="AF18" s="44"/>
      <c r="AG18" s="43"/>
      <c r="AH18" s="45"/>
    </row>
    <row r="19" spans="2:35" ht="36" x14ac:dyDescent="0.35">
      <c r="B19" s="275" t="s">
        <v>43</v>
      </c>
      <c r="C19" s="256"/>
      <c r="D19" s="340">
        <v>17796.216</v>
      </c>
      <c r="E19" s="401">
        <v>3987.3947527749742</v>
      </c>
      <c r="F19" s="340">
        <v>2053.1062999999995</v>
      </c>
      <c r="G19" s="340" t="s">
        <v>37</v>
      </c>
      <c r="H19" s="340">
        <v>1368.9187793103449</v>
      </c>
      <c r="I19" s="340">
        <v>1368.9187793103449</v>
      </c>
      <c r="J19" s="340">
        <v>23836.717052774973</v>
      </c>
      <c r="K19" s="340">
        <v>31464.466509662965</v>
      </c>
      <c r="L19" s="340" t="s">
        <v>38</v>
      </c>
      <c r="M19" s="401">
        <v>200</v>
      </c>
      <c r="N19" s="261"/>
      <c r="O19" s="401" t="s">
        <v>214</v>
      </c>
      <c r="P19" s="401">
        <v>0</v>
      </c>
      <c r="Q19" s="402">
        <v>0.85</v>
      </c>
      <c r="R19" s="403">
        <v>0.85</v>
      </c>
      <c r="S19" s="404">
        <v>0</v>
      </c>
      <c r="T19" s="74" t="s">
        <v>40</v>
      </c>
      <c r="U19" s="405" t="s">
        <v>41</v>
      </c>
      <c r="V19" s="261"/>
      <c r="W19" s="261"/>
      <c r="X19" s="261"/>
      <c r="Y19" s="261"/>
      <c r="Z19" s="261"/>
      <c r="AA19" s="261"/>
      <c r="AB19" s="261"/>
      <c r="AE19" s="43"/>
      <c r="AF19" s="44"/>
      <c r="AG19" s="43"/>
      <c r="AH19" s="45"/>
    </row>
    <row r="20" spans="2:35" ht="36" x14ac:dyDescent="0.35">
      <c r="B20" s="275" t="s">
        <v>43</v>
      </c>
      <c r="C20" s="256"/>
      <c r="D20" s="340">
        <v>29748.149999999998</v>
      </c>
      <c r="E20" s="401">
        <v>9391.245828503841</v>
      </c>
      <c r="F20" s="340">
        <v>13171.539650000002</v>
      </c>
      <c r="G20" s="340" t="s">
        <v>37</v>
      </c>
      <c r="H20" s="340">
        <v>2959.978596551724</v>
      </c>
      <c r="I20" s="340">
        <v>2959.978596551724</v>
      </c>
      <c r="J20" s="340">
        <v>52310.935478503845</v>
      </c>
      <c r="K20" s="340">
        <v>69050.434831625083</v>
      </c>
      <c r="L20" s="340" t="s">
        <v>38</v>
      </c>
      <c r="M20" s="401">
        <v>100</v>
      </c>
      <c r="N20" s="261"/>
      <c r="O20" s="401" t="s">
        <v>215</v>
      </c>
      <c r="P20" s="401">
        <v>0</v>
      </c>
      <c r="Q20" s="402">
        <v>1</v>
      </c>
      <c r="R20" s="403">
        <v>1</v>
      </c>
      <c r="S20" s="404">
        <v>0</v>
      </c>
      <c r="T20" s="74" t="s">
        <v>50</v>
      </c>
      <c r="U20" s="405" t="s">
        <v>51</v>
      </c>
      <c r="V20" s="261"/>
      <c r="W20" s="261"/>
      <c r="X20" s="261"/>
      <c r="Y20" s="261"/>
      <c r="Z20" s="261"/>
      <c r="AA20" s="261"/>
      <c r="AB20" s="261"/>
      <c r="AE20" s="43"/>
      <c r="AF20" s="44"/>
      <c r="AG20" s="43"/>
      <c r="AH20" s="45"/>
    </row>
    <row r="21" spans="2:35" ht="36" x14ac:dyDescent="0.35">
      <c r="B21" s="275" t="s">
        <v>43</v>
      </c>
      <c r="C21" s="256"/>
      <c r="D21" s="340">
        <v>24237.08</v>
      </c>
      <c r="E21" s="401">
        <v>2091.9003529411771</v>
      </c>
      <c r="F21" s="340">
        <v>5762.9199999999983</v>
      </c>
      <c r="G21" s="340" t="s">
        <v>37</v>
      </c>
      <c r="H21" s="340">
        <v>2142.8571428571427</v>
      </c>
      <c r="I21" s="340">
        <v>2142.8571428571427</v>
      </c>
      <c r="J21" s="340">
        <v>32091.900352941178</v>
      </c>
      <c r="K21" s="340">
        <v>42682.227469411773</v>
      </c>
      <c r="L21" s="340" t="s">
        <v>38</v>
      </c>
      <c r="M21" s="401">
        <v>100</v>
      </c>
      <c r="N21" s="261"/>
      <c r="O21" s="401" t="s">
        <v>216</v>
      </c>
      <c r="P21" s="401">
        <v>0</v>
      </c>
      <c r="Q21" s="402">
        <v>1</v>
      </c>
      <c r="R21" s="403">
        <v>1</v>
      </c>
      <c r="S21" s="404">
        <v>0</v>
      </c>
      <c r="T21" s="74" t="s">
        <v>71</v>
      </c>
      <c r="U21" s="405" t="s">
        <v>54</v>
      </c>
      <c r="V21" s="261"/>
      <c r="W21" s="261"/>
      <c r="X21" s="261"/>
      <c r="Y21" s="261"/>
      <c r="Z21" s="261"/>
      <c r="AA21" s="261"/>
      <c r="AB21" s="261"/>
      <c r="AE21" s="43"/>
      <c r="AF21" s="44"/>
      <c r="AG21" s="43"/>
      <c r="AH21" s="45"/>
    </row>
    <row r="22" spans="2:35" ht="36" x14ac:dyDescent="0.35">
      <c r="B22" s="275" t="s">
        <v>43</v>
      </c>
      <c r="C22" s="256"/>
      <c r="D22" s="340">
        <v>28463.428</v>
      </c>
      <c r="E22" s="401">
        <v>9750.1238241235915</v>
      </c>
      <c r="F22" s="340">
        <v>22630.391499999998</v>
      </c>
      <c r="G22" s="340" t="s">
        <v>37</v>
      </c>
      <c r="H22" s="340">
        <v>3523.7116896551724</v>
      </c>
      <c r="I22" s="340">
        <v>3523.7116896551724</v>
      </c>
      <c r="J22" s="340">
        <v>60843.943324123589</v>
      </c>
      <c r="K22" s="340">
        <v>78943.943324123597</v>
      </c>
      <c r="L22" s="340" t="s">
        <v>38</v>
      </c>
      <c r="M22" s="401">
        <v>200</v>
      </c>
      <c r="N22" s="261"/>
      <c r="O22" s="401" t="s">
        <v>118</v>
      </c>
      <c r="P22" s="401">
        <v>0</v>
      </c>
      <c r="Q22" s="402">
        <v>0.9</v>
      </c>
      <c r="R22" s="403">
        <v>0.9</v>
      </c>
      <c r="S22" s="404">
        <v>0</v>
      </c>
      <c r="T22" s="74" t="s">
        <v>46</v>
      </c>
      <c r="U22" s="405" t="s">
        <v>47</v>
      </c>
      <c r="V22" s="261"/>
      <c r="W22" s="261"/>
      <c r="X22" s="261"/>
      <c r="Y22" s="261"/>
      <c r="Z22" s="261"/>
      <c r="AA22" s="261"/>
      <c r="AB22" s="261"/>
      <c r="AE22" s="43"/>
      <c r="AF22" s="44"/>
      <c r="AG22" s="46"/>
      <c r="AH22" s="45"/>
    </row>
    <row r="23" spans="2:35" ht="36" x14ac:dyDescent="0.35">
      <c r="B23" s="275" t="s">
        <v>43</v>
      </c>
      <c r="C23" s="256"/>
      <c r="D23" s="340">
        <v>29788.87</v>
      </c>
      <c r="E23" s="401">
        <v>9391.245828503841</v>
      </c>
      <c r="F23" s="340">
        <v>10110.689649999997</v>
      </c>
      <c r="G23" s="340" t="s">
        <v>37</v>
      </c>
      <c r="H23" s="340">
        <v>2751.6937689655169</v>
      </c>
      <c r="I23" s="340">
        <v>2751.6937689655169</v>
      </c>
      <c r="J23" s="340">
        <v>49290.80547850384</v>
      </c>
      <c r="K23" s="340">
        <v>65063.863231625073</v>
      </c>
      <c r="L23" s="340" t="s">
        <v>38</v>
      </c>
      <c r="M23" s="401">
        <v>100</v>
      </c>
      <c r="N23" s="261"/>
      <c r="O23" s="401" t="s">
        <v>217</v>
      </c>
      <c r="P23" s="401">
        <v>0</v>
      </c>
      <c r="Q23" s="402">
        <v>1</v>
      </c>
      <c r="R23" s="403">
        <v>1</v>
      </c>
      <c r="S23" s="404">
        <v>0</v>
      </c>
      <c r="T23" s="74" t="s">
        <v>50</v>
      </c>
      <c r="U23" s="405" t="s">
        <v>51</v>
      </c>
      <c r="V23" s="261"/>
      <c r="W23" s="261"/>
      <c r="X23" s="261"/>
      <c r="Y23" s="261"/>
      <c r="Z23" s="261"/>
      <c r="AA23" s="261"/>
      <c r="AB23" s="261"/>
      <c r="AE23" s="43"/>
      <c r="AF23" s="44"/>
      <c r="AG23" s="43"/>
      <c r="AH23" s="45"/>
    </row>
    <row r="24" spans="2:35" ht="36" x14ac:dyDescent="0.35">
      <c r="B24" s="80" t="s">
        <v>43</v>
      </c>
      <c r="C24" s="256"/>
      <c r="D24" s="340">
        <v>20177.78</v>
      </c>
      <c r="E24" s="401">
        <v>3987.3947527749742</v>
      </c>
      <c r="F24" s="340">
        <v>1924.3853999999992</v>
      </c>
      <c r="G24" s="340" t="s">
        <v>37</v>
      </c>
      <c r="H24" s="340">
        <v>1524.2872689655171</v>
      </c>
      <c r="I24" s="340">
        <v>1524.2872689655171</v>
      </c>
      <c r="J24" s="340">
        <v>26089.560152774971</v>
      </c>
      <c r="K24" s="340">
        <v>34438.219401662966</v>
      </c>
      <c r="L24" s="340" t="s">
        <v>38</v>
      </c>
      <c r="M24" s="401">
        <v>189</v>
      </c>
      <c r="N24" s="261"/>
      <c r="O24" s="401" t="s">
        <v>218</v>
      </c>
      <c r="P24" s="401">
        <v>0</v>
      </c>
      <c r="Q24" s="402">
        <v>1</v>
      </c>
      <c r="R24" s="403">
        <v>1</v>
      </c>
      <c r="S24" s="404">
        <v>0</v>
      </c>
      <c r="T24" s="74" t="s">
        <v>40</v>
      </c>
      <c r="U24" s="405" t="s">
        <v>41</v>
      </c>
      <c r="V24" s="261"/>
      <c r="W24" s="261"/>
      <c r="X24" s="261"/>
      <c r="Y24" s="261"/>
      <c r="Z24" s="261"/>
      <c r="AA24" s="261"/>
      <c r="AB24" s="261"/>
      <c r="AE24" s="43"/>
      <c r="AF24" s="44"/>
      <c r="AG24" s="43"/>
      <c r="AH24" s="45"/>
    </row>
    <row r="25" spans="2:35" ht="36" x14ac:dyDescent="0.35">
      <c r="B25" s="275" t="s">
        <v>36</v>
      </c>
      <c r="C25" s="256"/>
      <c r="D25" s="340">
        <v>24237.08</v>
      </c>
      <c r="E25" s="401">
        <v>2091.9003529411771</v>
      </c>
      <c r="F25" s="340">
        <v>29275.244699999996</v>
      </c>
      <c r="G25" s="340" t="s">
        <v>37</v>
      </c>
      <c r="H25" s="340">
        <v>3690.5051517241377</v>
      </c>
      <c r="I25" s="340">
        <v>3690.5051517241377</v>
      </c>
      <c r="J25" s="340">
        <v>55604.225052941176</v>
      </c>
      <c r="K25" s="340">
        <v>73397.577069882362</v>
      </c>
      <c r="L25" s="340" t="s">
        <v>38</v>
      </c>
      <c r="M25" s="401">
        <v>100</v>
      </c>
      <c r="N25" s="261"/>
      <c r="O25" s="401" t="s">
        <v>219</v>
      </c>
      <c r="P25" s="401">
        <v>0</v>
      </c>
      <c r="Q25" s="402">
        <v>1</v>
      </c>
      <c r="R25" s="403">
        <v>1</v>
      </c>
      <c r="S25" s="404">
        <v>0</v>
      </c>
      <c r="T25" s="74" t="s">
        <v>220</v>
      </c>
      <c r="U25" s="405" t="s">
        <v>54</v>
      </c>
      <c r="V25" s="261"/>
      <c r="W25" s="261"/>
      <c r="X25" s="261"/>
      <c r="Y25" s="261"/>
      <c r="Z25" s="261"/>
      <c r="AA25" s="261"/>
      <c r="AB25" s="261"/>
      <c r="AE25" s="43"/>
      <c r="AF25" s="44"/>
      <c r="AG25" s="46"/>
      <c r="AH25" s="45"/>
    </row>
    <row r="26" spans="2:35" ht="36" x14ac:dyDescent="0.35">
      <c r="B26" s="275" t="s">
        <v>43</v>
      </c>
      <c r="C26" s="256"/>
      <c r="D26" s="340">
        <v>17146.919999999998</v>
      </c>
      <c r="E26" s="401">
        <v>2325.6560294117644</v>
      </c>
      <c r="F26" s="340">
        <v>2113.4769500000039</v>
      </c>
      <c r="G26" s="340" t="s">
        <v>37</v>
      </c>
      <c r="H26" s="340">
        <v>1328.3032379310346</v>
      </c>
      <c r="I26" s="340">
        <v>1328.3032379310346</v>
      </c>
      <c r="J26" s="340">
        <v>21586.052979411768</v>
      </c>
      <c r="K26" s="340">
        <v>28493.589932823535</v>
      </c>
      <c r="L26" s="340" t="s">
        <v>38</v>
      </c>
      <c r="M26" s="401">
        <v>189</v>
      </c>
      <c r="N26" s="261"/>
      <c r="O26" s="401" t="s">
        <v>221</v>
      </c>
      <c r="P26" s="401">
        <v>0</v>
      </c>
      <c r="Q26" s="402">
        <v>1</v>
      </c>
      <c r="R26" s="403">
        <v>1</v>
      </c>
      <c r="S26" s="404">
        <v>0</v>
      </c>
      <c r="T26" s="74" t="s">
        <v>57</v>
      </c>
      <c r="U26" s="405" t="s">
        <v>58</v>
      </c>
      <c r="V26" s="261"/>
      <c r="W26" s="261"/>
      <c r="X26" s="261"/>
      <c r="Y26" s="261"/>
      <c r="Z26" s="261"/>
      <c r="AA26" s="261"/>
      <c r="AB26" s="261"/>
    </row>
    <row r="27" spans="2:35" ht="36" x14ac:dyDescent="0.35">
      <c r="B27" s="80" t="s">
        <v>36</v>
      </c>
      <c r="C27" s="256"/>
      <c r="D27" s="340">
        <v>19320.559999999998</v>
      </c>
      <c r="E27" s="401">
        <v>3987.3947527749742</v>
      </c>
      <c r="F27" s="340">
        <v>2137.5766500000027</v>
      </c>
      <c r="G27" s="340" t="s">
        <v>37</v>
      </c>
      <c r="H27" s="340">
        <v>1479.8714931034483</v>
      </c>
      <c r="I27" s="340">
        <v>1479.8714931034483</v>
      </c>
      <c r="J27" s="340">
        <v>25445.531402774974</v>
      </c>
      <c r="K27" s="340">
        <v>33588.101451662966</v>
      </c>
      <c r="L27" s="340" t="s">
        <v>38</v>
      </c>
      <c r="M27" s="401">
        <v>189</v>
      </c>
      <c r="N27" s="261"/>
      <c r="O27" s="401" t="s">
        <v>222</v>
      </c>
      <c r="P27" s="401">
        <v>0</v>
      </c>
      <c r="Q27" s="402">
        <v>1</v>
      </c>
      <c r="R27" s="403">
        <v>1</v>
      </c>
      <c r="S27" s="404">
        <v>0</v>
      </c>
      <c r="T27" s="74" t="s">
        <v>40</v>
      </c>
      <c r="U27" s="405" t="s">
        <v>41</v>
      </c>
      <c r="V27" s="261"/>
      <c r="W27" s="261"/>
      <c r="X27" s="261"/>
      <c r="Y27" s="261"/>
      <c r="Z27" s="261"/>
      <c r="AA27" s="261"/>
      <c r="AB27" s="261"/>
    </row>
    <row r="28" spans="2:35" ht="36" x14ac:dyDescent="0.35">
      <c r="B28" s="275" t="s">
        <v>43</v>
      </c>
      <c r="C28" s="256"/>
      <c r="D28" s="340">
        <v>18864.16</v>
      </c>
      <c r="E28" s="401">
        <v>3987.3947527749742</v>
      </c>
      <c r="F28" s="340">
        <v>2550.7446999999993</v>
      </c>
      <c r="G28" s="340" t="s">
        <v>37</v>
      </c>
      <c r="H28" s="340">
        <v>1476.8899793103449</v>
      </c>
      <c r="I28" s="340">
        <v>1476.8899793103449</v>
      </c>
      <c r="J28" s="340">
        <v>25402.299452774972</v>
      </c>
      <c r="K28" s="340">
        <v>33531.035277662966</v>
      </c>
      <c r="L28" s="340" t="s">
        <v>38</v>
      </c>
      <c r="M28" s="401">
        <v>189</v>
      </c>
      <c r="N28" s="261"/>
      <c r="O28" s="401" t="s">
        <v>223</v>
      </c>
      <c r="P28" s="401">
        <v>0</v>
      </c>
      <c r="Q28" s="402">
        <v>1</v>
      </c>
      <c r="R28" s="403">
        <v>1</v>
      </c>
      <c r="S28" s="404">
        <v>0</v>
      </c>
      <c r="T28" s="74" t="s">
        <v>40</v>
      </c>
      <c r="U28" s="405" t="s">
        <v>81</v>
      </c>
      <c r="V28" s="261"/>
      <c r="W28" s="261"/>
      <c r="X28" s="261"/>
      <c r="Y28" s="261"/>
      <c r="Z28" s="261"/>
      <c r="AA28" s="261"/>
      <c r="AB28" s="261"/>
    </row>
    <row r="29" spans="2:35" ht="36" x14ac:dyDescent="0.35">
      <c r="B29" s="275" t="s">
        <v>43</v>
      </c>
      <c r="C29" s="256"/>
      <c r="D29" s="340">
        <v>27085.100000000002</v>
      </c>
      <c r="E29" s="401">
        <v>9391.245828503841</v>
      </c>
      <c r="F29" s="340">
        <v>6504.0853499999976</v>
      </c>
      <c r="G29" s="340" t="s">
        <v>37</v>
      </c>
      <c r="H29" s="340">
        <v>2316.4955413793105</v>
      </c>
      <c r="I29" s="340">
        <v>2316.4955413793105</v>
      </c>
      <c r="J29" s="340">
        <v>42980.431178503844</v>
      </c>
      <c r="K29" s="340">
        <v>56734.169155625081</v>
      </c>
      <c r="L29" s="340" t="s">
        <v>38</v>
      </c>
      <c r="M29" s="401">
        <v>189</v>
      </c>
      <c r="N29" s="261"/>
      <c r="O29" s="401" t="s">
        <v>224</v>
      </c>
      <c r="P29" s="401">
        <v>0</v>
      </c>
      <c r="Q29" s="402">
        <v>1</v>
      </c>
      <c r="R29" s="403">
        <v>1</v>
      </c>
      <c r="S29" s="404">
        <v>0</v>
      </c>
      <c r="T29" s="74" t="s">
        <v>50</v>
      </c>
      <c r="U29" s="405" t="s">
        <v>78</v>
      </c>
      <c r="V29" s="261"/>
      <c r="W29" s="261"/>
      <c r="X29" s="261"/>
      <c r="Y29" s="261"/>
      <c r="Z29" s="261"/>
      <c r="AA29" s="261"/>
      <c r="AB29" s="261"/>
    </row>
    <row r="30" spans="2:35" ht="36" x14ac:dyDescent="0.35">
      <c r="B30" s="275" t="s">
        <v>43</v>
      </c>
      <c r="C30" s="256"/>
      <c r="D30" s="340">
        <v>27085.100000000002</v>
      </c>
      <c r="E30" s="401">
        <v>9391.245828503841</v>
      </c>
      <c r="F30" s="340">
        <v>6468.3674999999967</v>
      </c>
      <c r="G30" s="340" t="s">
        <v>37</v>
      </c>
      <c r="H30" s="340">
        <v>2314.0322413793101</v>
      </c>
      <c r="I30" s="340">
        <v>2314.0322413793101</v>
      </c>
      <c r="J30" s="340">
        <v>42944.713328503844</v>
      </c>
      <c r="K30" s="340">
        <v>56687.021593625075</v>
      </c>
      <c r="L30" s="340" t="s">
        <v>38</v>
      </c>
      <c r="M30" s="401">
        <v>189</v>
      </c>
      <c r="N30" s="261"/>
      <c r="O30" s="401" t="s">
        <v>226</v>
      </c>
      <c r="P30" s="401">
        <v>0</v>
      </c>
      <c r="Q30" s="402">
        <v>1</v>
      </c>
      <c r="R30" s="403">
        <v>1</v>
      </c>
      <c r="S30" s="404">
        <v>0</v>
      </c>
      <c r="T30" s="74" t="s">
        <v>50</v>
      </c>
      <c r="U30" s="405" t="s">
        <v>78</v>
      </c>
      <c r="V30" s="261"/>
      <c r="W30" s="261"/>
      <c r="X30" s="261"/>
      <c r="Y30" s="261"/>
      <c r="Z30" s="261"/>
      <c r="AA30" s="261"/>
      <c r="AB30" s="261"/>
    </row>
    <row r="31" spans="2:35" ht="36" x14ac:dyDescent="0.35">
      <c r="B31" s="275" t="s">
        <v>43</v>
      </c>
      <c r="C31" s="256"/>
      <c r="D31" s="340">
        <v>18864.16</v>
      </c>
      <c r="E31" s="401">
        <v>3987.3947527749742</v>
      </c>
      <c r="F31" s="340">
        <v>2087.5821999999971</v>
      </c>
      <c r="G31" s="340" t="s">
        <v>37</v>
      </c>
      <c r="H31" s="340">
        <v>1444.9477379310342</v>
      </c>
      <c r="I31" s="340">
        <v>1444.9477379310342</v>
      </c>
      <c r="J31" s="340">
        <v>24939.13695277497</v>
      </c>
      <c r="K31" s="340">
        <v>32919.660777662961</v>
      </c>
      <c r="L31" s="340" t="s">
        <v>38</v>
      </c>
      <c r="M31" s="401">
        <v>189</v>
      </c>
      <c r="N31" s="261"/>
      <c r="O31" s="401" t="s">
        <v>227</v>
      </c>
      <c r="P31" s="401">
        <v>0</v>
      </c>
      <c r="Q31" s="402">
        <v>1</v>
      </c>
      <c r="R31" s="403">
        <v>1</v>
      </c>
      <c r="S31" s="404">
        <v>0</v>
      </c>
      <c r="T31" s="74" t="s">
        <v>40</v>
      </c>
      <c r="U31" s="405" t="s">
        <v>81</v>
      </c>
      <c r="V31" s="261"/>
      <c r="W31" s="261"/>
      <c r="X31" s="261"/>
      <c r="Y31" s="261"/>
      <c r="Z31" s="261"/>
      <c r="AA31" s="261"/>
      <c r="AB31" s="261"/>
    </row>
    <row r="32" spans="2:35" ht="36" x14ac:dyDescent="0.35">
      <c r="B32" s="275" t="s">
        <v>36</v>
      </c>
      <c r="C32" s="256"/>
      <c r="D32" s="340">
        <v>27085.100000000002</v>
      </c>
      <c r="E32" s="401">
        <v>15.600000000000001</v>
      </c>
      <c r="F32" s="340">
        <v>2493.0463499999969</v>
      </c>
      <c r="G32" s="340" t="s">
        <v>37</v>
      </c>
      <c r="H32" s="340">
        <v>2039.8721620689655</v>
      </c>
      <c r="I32" s="340">
        <v>2039.8721620689655</v>
      </c>
      <c r="J32" s="340">
        <v>29593.746349999998</v>
      </c>
      <c r="K32" s="340">
        <v>39063.745181999999</v>
      </c>
      <c r="L32" s="340" t="s">
        <v>38</v>
      </c>
      <c r="M32" s="401">
        <v>100</v>
      </c>
      <c r="N32" s="261"/>
      <c r="O32" s="401" t="s">
        <v>228</v>
      </c>
      <c r="P32" s="401">
        <v>0</v>
      </c>
      <c r="Q32" s="402">
        <v>1</v>
      </c>
      <c r="R32" s="403">
        <v>1</v>
      </c>
      <c r="S32" s="404">
        <v>0</v>
      </c>
      <c r="T32" s="74" t="s">
        <v>103</v>
      </c>
      <c r="U32" s="405" t="s">
        <v>78</v>
      </c>
      <c r="V32" s="261"/>
      <c r="W32" s="261"/>
      <c r="X32" s="261"/>
      <c r="Y32" s="261"/>
      <c r="Z32" s="261"/>
      <c r="AA32" s="261"/>
      <c r="AB32" s="261"/>
    </row>
    <row r="33" spans="1:28" ht="36" x14ac:dyDescent="0.35">
      <c r="B33" s="275" t="s">
        <v>43</v>
      </c>
      <c r="C33" s="256"/>
      <c r="D33" s="340">
        <v>27085.100000000002</v>
      </c>
      <c r="E33" s="401">
        <v>9391.245828503841</v>
      </c>
      <c r="F33" s="340">
        <v>6740.5517999999975</v>
      </c>
      <c r="G33" s="340" t="s">
        <v>37</v>
      </c>
      <c r="H33" s="340">
        <v>2332.8035724137931</v>
      </c>
      <c r="I33" s="340">
        <v>2332.8035724137931</v>
      </c>
      <c r="J33" s="340">
        <v>43216.897628503837</v>
      </c>
      <c r="K33" s="340">
        <v>57046.30486962507</v>
      </c>
      <c r="L33" s="340" t="s">
        <v>38</v>
      </c>
      <c r="M33" s="401">
        <v>100</v>
      </c>
      <c r="N33" s="261"/>
      <c r="O33" s="401" t="s">
        <v>229</v>
      </c>
      <c r="P33" s="401">
        <v>0</v>
      </c>
      <c r="Q33" s="402">
        <v>1</v>
      </c>
      <c r="R33" s="403">
        <v>1</v>
      </c>
      <c r="S33" s="404">
        <v>0</v>
      </c>
      <c r="T33" s="74" t="s">
        <v>50</v>
      </c>
      <c r="U33" s="405" t="s">
        <v>78</v>
      </c>
      <c r="V33" s="261"/>
      <c r="W33" s="261"/>
      <c r="X33" s="261"/>
      <c r="Y33" s="261"/>
      <c r="Z33" s="261"/>
      <c r="AA33" s="261"/>
      <c r="AB33" s="261"/>
    </row>
    <row r="34" spans="1:28" ht="36" x14ac:dyDescent="0.35">
      <c r="B34" s="80" t="s">
        <v>36</v>
      </c>
      <c r="C34" s="256"/>
      <c r="D34" s="340">
        <v>27085.100000000002</v>
      </c>
      <c r="E34" s="401">
        <v>15.600000000000001</v>
      </c>
      <c r="F34" s="340">
        <v>2313.3289499999955</v>
      </c>
      <c r="G34" s="340" t="s">
        <v>37</v>
      </c>
      <c r="H34" s="340">
        <v>2027.4778586206894</v>
      </c>
      <c r="I34" s="340">
        <v>2027.4778586206894</v>
      </c>
      <c r="J34" s="340">
        <v>29414.028949999996</v>
      </c>
      <c r="K34" s="340">
        <v>38826.518213999996</v>
      </c>
      <c r="L34" s="340" t="s">
        <v>38</v>
      </c>
      <c r="M34" s="401">
        <v>100</v>
      </c>
      <c r="N34" s="261"/>
      <c r="O34" s="401" t="s">
        <v>230</v>
      </c>
      <c r="P34" s="401">
        <v>0</v>
      </c>
      <c r="Q34" s="402">
        <v>1</v>
      </c>
      <c r="R34" s="403">
        <v>1</v>
      </c>
      <c r="S34" s="404">
        <v>0</v>
      </c>
      <c r="T34" s="74" t="s">
        <v>132</v>
      </c>
      <c r="U34" s="405" t="s">
        <v>78</v>
      </c>
      <c r="V34" s="261"/>
      <c r="W34" s="261"/>
      <c r="X34" s="261"/>
      <c r="Y34" s="261"/>
      <c r="Z34" s="261"/>
      <c r="AA34" s="261"/>
      <c r="AB34" s="261"/>
    </row>
    <row r="35" spans="1:28" ht="36" x14ac:dyDescent="0.35">
      <c r="B35" s="275" t="s">
        <v>43</v>
      </c>
      <c r="C35" s="256"/>
      <c r="D35" s="340">
        <v>18864.16</v>
      </c>
      <c r="E35" s="401">
        <v>3987.3947527749742</v>
      </c>
      <c r="F35" s="340">
        <v>1677.9084999999977</v>
      </c>
      <c r="G35" s="340" t="s">
        <v>37</v>
      </c>
      <c r="H35" s="340">
        <v>1416.6943793103446</v>
      </c>
      <c r="I35" s="340">
        <v>1416.6943793103446</v>
      </c>
      <c r="J35" s="340">
        <v>24529.463252774971</v>
      </c>
      <c r="K35" s="340">
        <v>32378.891493662963</v>
      </c>
      <c r="L35" s="340" t="s">
        <v>38</v>
      </c>
      <c r="M35" s="401">
        <v>189</v>
      </c>
      <c r="N35" s="261"/>
      <c r="O35" s="401" t="s">
        <v>231</v>
      </c>
      <c r="P35" s="401">
        <v>0</v>
      </c>
      <c r="Q35" s="402">
        <v>1</v>
      </c>
      <c r="R35" s="403">
        <v>1</v>
      </c>
      <c r="S35" s="404">
        <v>0</v>
      </c>
      <c r="T35" s="74" t="s">
        <v>40</v>
      </c>
      <c r="U35" s="405" t="s">
        <v>81</v>
      </c>
      <c r="V35" s="261"/>
      <c r="W35" s="261"/>
      <c r="X35" s="261"/>
      <c r="Y35" s="261"/>
      <c r="Z35" s="261"/>
      <c r="AA35" s="261"/>
      <c r="AB35" s="261"/>
    </row>
    <row r="36" spans="1:28" ht="36" x14ac:dyDescent="0.35">
      <c r="B36" s="275" t="s">
        <v>36</v>
      </c>
      <c r="C36" s="256"/>
      <c r="D36" s="340">
        <v>11294.486699999999</v>
      </c>
      <c r="E36" s="401">
        <v>9391.245828503841</v>
      </c>
      <c r="F36" s="340">
        <v>3328.3132999999998</v>
      </c>
      <c r="G36" s="340" t="s">
        <v>37</v>
      </c>
      <c r="H36" s="340">
        <v>1008.4689655172414</v>
      </c>
      <c r="I36" s="340">
        <v>1008.4689655172414</v>
      </c>
      <c r="J36" s="340">
        <v>24014.04582850384</v>
      </c>
      <c r="K36" s="340">
        <v>31698.540493625071</v>
      </c>
      <c r="L36" s="340" t="s">
        <v>38</v>
      </c>
      <c r="M36" s="401">
        <v>200</v>
      </c>
      <c r="N36" s="261"/>
      <c r="O36" s="401" t="s">
        <v>232</v>
      </c>
      <c r="P36" s="401">
        <v>0</v>
      </c>
      <c r="Q36" s="402">
        <v>0.41699999999999998</v>
      </c>
      <c r="R36" s="403">
        <v>0.41699999999999998</v>
      </c>
      <c r="S36" s="404">
        <v>0</v>
      </c>
      <c r="T36" s="74" t="s">
        <v>50</v>
      </c>
      <c r="U36" s="405" t="s">
        <v>78</v>
      </c>
      <c r="V36" s="261"/>
      <c r="W36" s="261"/>
      <c r="X36" s="261"/>
      <c r="Y36" s="261"/>
      <c r="Z36" s="261"/>
      <c r="AA36" s="261"/>
      <c r="AB36" s="261"/>
    </row>
    <row r="37" spans="1:28" ht="36" x14ac:dyDescent="0.35">
      <c r="B37" s="275" t="s">
        <v>43</v>
      </c>
      <c r="C37" s="256"/>
      <c r="D37" s="340">
        <v>29010.799999999996</v>
      </c>
      <c r="E37" s="401">
        <v>9750.1238241235915</v>
      </c>
      <c r="F37" s="340">
        <v>28533.532800000008</v>
      </c>
      <c r="G37" s="340" t="s">
        <v>37</v>
      </c>
      <c r="H37" s="340">
        <v>3968.5746758620694</v>
      </c>
      <c r="I37" s="340">
        <v>3968.5746758620694</v>
      </c>
      <c r="J37" s="340">
        <v>67294.456624123588</v>
      </c>
      <c r="K37" s="340">
        <v>85394.456624123588</v>
      </c>
      <c r="L37" s="340" t="s">
        <v>38</v>
      </c>
      <c r="M37" s="401">
        <v>100</v>
      </c>
      <c r="N37" s="261"/>
      <c r="O37" s="401" t="s">
        <v>233</v>
      </c>
      <c r="P37" s="401">
        <v>0</v>
      </c>
      <c r="Q37" s="402">
        <v>1</v>
      </c>
      <c r="R37" s="403">
        <v>1</v>
      </c>
      <c r="S37" s="404">
        <v>0</v>
      </c>
      <c r="T37" s="74" t="s">
        <v>46</v>
      </c>
      <c r="U37" s="405" t="s">
        <v>89</v>
      </c>
      <c r="V37" s="261"/>
      <c r="W37" s="261"/>
      <c r="X37" s="261"/>
      <c r="Y37" s="261"/>
      <c r="Z37" s="261"/>
      <c r="AA37" s="261"/>
      <c r="AB37" s="261"/>
    </row>
    <row r="38" spans="1:28" ht="36" x14ac:dyDescent="0.35">
      <c r="B38" s="275" t="s">
        <v>43</v>
      </c>
      <c r="C38" s="256"/>
      <c r="D38" s="340">
        <v>27085.100000000002</v>
      </c>
      <c r="E38" s="401">
        <v>9391.245828503841</v>
      </c>
      <c r="F38" s="340">
        <v>6654.1292999999969</v>
      </c>
      <c r="G38" s="340" t="s">
        <v>37</v>
      </c>
      <c r="H38" s="340">
        <v>2326.8433999999997</v>
      </c>
      <c r="I38" s="340">
        <v>2326.8433999999997</v>
      </c>
      <c r="J38" s="340">
        <v>43130.475128503836</v>
      </c>
      <c r="K38" s="340">
        <v>56932.227169625068</v>
      </c>
      <c r="L38" s="340" t="s">
        <v>38</v>
      </c>
      <c r="M38" s="401">
        <v>100</v>
      </c>
      <c r="N38" s="261"/>
      <c r="O38" s="401" t="s">
        <v>234</v>
      </c>
      <c r="P38" s="401">
        <v>0</v>
      </c>
      <c r="Q38" s="402">
        <v>1</v>
      </c>
      <c r="R38" s="403">
        <v>1</v>
      </c>
      <c r="S38" s="404">
        <v>0</v>
      </c>
      <c r="T38" s="74" t="s">
        <v>50</v>
      </c>
      <c r="U38" s="405" t="s">
        <v>78</v>
      </c>
      <c r="V38" s="261"/>
      <c r="W38" s="261"/>
      <c r="X38" s="261"/>
      <c r="Y38" s="261"/>
      <c r="Z38" s="261"/>
      <c r="AA38" s="261"/>
      <c r="AB38" s="261"/>
    </row>
    <row r="39" spans="1:28" ht="36" x14ac:dyDescent="0.35">
      <c r="A39" s="58"/>
      <c r="B39" s="80" t="s">
        <v>43</v>
      </c>
      <c r="C39" s="256"/>
      <c r="D39" s="340">
        <v>20901.169999999998</v>
      </c>
      <c r="E39" s="341">
        <v>2823</v>
      </c>
      <c r="F39" s="340">
        <v>503.15000000000146</v>
      </c>
      <c r="G39" s="340" t="s">
        <v>37</v>
      </c>
      <c r="H39" s="340">
        <v>1528.8799999999999</v>
      </c>
      <c r="I39" s="340">
        <v>1528.8799999999999</v>
      </c>
      <c r="J39" s="340">
        <v>24227.32</v>
      </c>
      <c r="K39" s="340">
        <v>31980.062400000003</v>
      </c>
      <c r="L39" s="340" t="s">
        <v>38</v>
      </c>
      <c r="M39" s="341">
        <v>410</v>
      </c>
      <c r="N39" s="80"/>
      <c r="O39" s="341" t="s">
        <v>356</v>
      </c>
      <c r="P39" s="164"/>
      <c r="Q39" s="343">
        <v>1</v>
      </c>
      <c r="R39" s="343">
        <v>1</v>
      </c>
      <c r="S39" s="164"/>
      <c r="T39" s="258" t="s">
        <v>40</v>
      </c>
      <c r="U39" s="345" t="s">
        <v>41</v>
      </c>
      <c r="V39" s="80"/>
      <c r="W39" s="80"/>
      <c r="X39" s="80"/>
      <c r="Y39" s="80"/>
      <c r="Z39" s="80"/>
      <c r="AA39" s="80"/>
      <c r="AB39" s="80"/>
    </row>
    <row r="40" spans="1:28" s="20" customFormat="1" x14ac:dyDescent="0.35">
      <c r="A40" s="58"/>
      <c r="B40" s="11" t="s">
        <v>43</v>
      </c>
      <c r="C40" s="31"/>
      <c r="D40" s="12">
        <v>29366.54</v>
      </c>
      <c r="E40" s="51">
        <v>2961.4411162790702</v>
      </c>
      <c r="F40" s="12">
        <v>2301.739999999998</v>
      </c>
      <c r="G40" s="12" t="s">
        <v>37</v>
      </c>
      <c r="H40" s="12">
        <v>2262.02</v>
      </c>
      <c r="I40" s="12">
        <v>2262.02</v>
      </c>
      <c r="J40" s="12">
        <v>34629.72111627907</v>
      </c>
      <c r="K40" s="12">
        <v>45711.231873488374</v>
      </c>
      <c r="L40" s="12" t="s">
        <v>38</v>
      </c>
      <c r="M40" s="51">
        <v>100</v>
      </c>
      <c r="N40" s="11"/>
      <c r="O40" s="51" t="s">
        <v>346</v>
      </c>
      <c r="P40" s="37"/>
      <c r="Q40" s="53">
        <v>1</v>
      </c>
      <c r="R40" s="53">
        <v>1</v>
      </c>
      <c r="S40" s="37"/>
      <c r="T40" s="38" t="s">
        <v>50</v>
      </c>
      <c r="U40" s="55" t="s">
        <v>51</v>
      </c>
      <c r="W40" s="34"/>
    </row>
    <row r="41" spans="1:28" s="20" customFormat="1" x14ac:dyDescent="0.35">
      <c r="A41" s="58"/>
      <c r="B41" s="11" t="s">
        <v>43</v>
      </c>
      <c r="C41" s="31"/>
      <c r="D41" s="12">
        <v>17765.994499999997</v>
      </c>
      <c r="E41" s="51">
        <v>3987.3947527749742</v>
      </c>
      <c r="F41" s="12">
        <v>13963.185500000003</v>
      </c>
      <c r="G41" s="12" t="s">
        <v>37</v>
      </c>
      <c r="H41" s="12">
        <v>2266.37</v>
      </c>
      <c r="I41" s="12">
        <v>2266.37</v>
      </c>
      <c r="J41" s="12">
        <v>35716.574752774977</v>
      </c>
      <c r="K41" s="12">
        <v>47145.87867366297</v>
      </c>
      <c r="L41" s="12" t="s">
        <v>38</v>
      </c>
      <c r="M41" s="51">
        <v>510</v>
      </c>
      <c r="N41" s="11"/>
      <c r="O41" s="51" t="s">
        <v>345</v>
      </c>
      <c r="P41" s="37"/>
      <c r="Q41" s="53">
        <v>0.85</v>
      </c>
      <c r="R41" s="53">
        <v>0.85</v>
      </c>
      <c r="S41" s="37"/>
      <c r="T41" s="38" t="s">
        <v>40</v>
      </c>
      <c r="U41" s="55" t="s">
        <v>41</v>
      </c>
      <c r="W41" s="34"/>
    </row>
    <row r="42" spans="1:28" s="20" customFormat="1" x14ac:dyDescent="0.35">
      <c r="A42" s="58"/>
      <c r="B42" s="11" t="s">
        <v>43</v>
      </c>
      <c r="C42" s="31"/>
      <c r="D42" s="12">
        <v>29366.54</v>
      </c>
      <c r="E42" s="51">
        <v>9391.245828503841</v>
      </c>
      <c r="F42" s="12">
        <v>3661.4199999999983</v>
      </c>
      <c r="G42" s="12" t="s">
        <v>37</v>
      </c>
      <c r="H42" s="12">
        <v>2359.14</v>
      </c>
      <c r="I42" s="12">
        <v>2359.14</v>
      </c>
      <c r="J42" s="12">
        <v>42419.205828503837</v>
      </c>
      <c r="K42" s="12">
        <v>55993.351693625067</v>
      </c>
      <c r="L42" s="12" t="s">
        <v>38</v>
      </c>
      <c r="M42" s="51">
        <v>100</v>
      </c>
      <c r="N42" s="11"/>
      <c r="O42" s="51" t="s">
        <v>357</v>
      </c>
      <c r="P42" s="37"/>
      <c r="Q42" s="53">
        <v>1</v>
      </c>
      <c r="R42" s="53">
        <v>1</v>
      </c>
      <c r="S42" s="37"/>
      <c r="T42" s="38" t="s">
        <v>50</v>
      </c>
      <c r="U42" s="55" t="s">
        <v>51</v>
      </c>
      <c r="W42" s="34"/>
    </row>
    <row r="43" spans="1:28" s="20" customFormat="1" x14ac:dyDescent="0.35">
      <c r="A43" s="58"/>
      <c r="B43" s="11" t="s">
        <v>43</v>
      </c>
      <c r="C43" s="31"/>
      <c r="D43" s="12">
        <v>20901.169999999998</v>
      </c>
      <c r="E43" s="51">
        <v>2823.1609271523184</v>
      </c>
      <c r="F43" s="12">
        <v>14860.29</v>
      </c>
      <c r="G43" s="12" t="s">
        <v>37</v>
      </c>
      <c r="H43" s="12">
        <v>2554.39</v>
      </c>
      <c r="I43" s="12">
        <v>2554.39</v>
      </c>
      <c r="J43" s="12">
        <v>38584.620927152318</v>
      </c>
      <c r="K43" s="12">
        <v>50931.699623841065</v>
      </c>
      <c r="L43" s="12" t="s">
        <v>38</v>
      </c>
      <c r="M43" s="51">
        <v>189</v>
      </c>
      <c r="N43" s="11"/>
      <c r="O43" s="51" t="s">
        <v>352</v>
      </c>
      <c r="P43" s="37"/>
      <c r="Q43" s="53">
        <v>1</v>
      </c>
      <c r="R43" s="53">
        <v>1</v>
      </c>
      <c r="S43" s="37"/>
      <c r="T43" s="38" t="s">
        <v>40</v>
      </c>
      <c r="U43" s="55" t="s">
        <v>41</v>
      </c>
      <c r="W43" s="34"/>
    </row>
    <row r="44" spans="1:28" s="20" customFormat="1" x14ac:dyDescent="0.35">
      <c r="A44" s="58"/>
      <c r="B44" s="11" t="s">
        <v>43</v>
      </c>
      <c r="C44" s="31"/>
      <c r="D44" s="12">
        <v>29366.54</v>
      </c>
      <c r="E44" s="51">
        <v>9750.1238241235915</v>
      </c>
      <c r="F44" s="12">
        <v>2301.739999999998</v>
      </c>
      <c r="G44" s="12" t="s">
        <v>37</v>
      </c>
      <c r="H44" s="12">
        <v>2262.02</v>
      </c>
      <c r="I44" s="12">
        <v>2262.02</v>
      </c>
      <c r="J44" s="12">
        <v>41418.40382412359</v>
      </c>
      <c r="K44" s="12">
        <v>54672.293047843144</v>
      </c>
      <c r="L44" s="12" t="s">
        <v>38</v>
      </c>
      <c r="M44" s="51">
        <v>100</v>
      </c>
      <c r="N44" s="11"/>
      <c r="O44" s="51" t="s">
        <v>358</v>
      </c>
      <c r="P44" s="37"/>
      <c r="Q44" s="53">
        <v>1</v>
      </c>
      <c r="R44" s="53">
        <v>1</v>
      </c>
      <c r="S44" s="37"/>
      <c r="T44" s="38" t="s">
        <v>50</v>
      </c>
      <c r="U44" s="55" t="s">
        <v>51</v>
      </c>
      <c r="W44" s="34"/>
    </row>
    <row r="45" spans="1:28" s="20" customFormat="1" ht="12" x14ac:dyDescent="0.3">
      <c r="W45" s="34"/>
    </row>
    <row r="46" spans="1:28" s="20" customFormat="1" ht="19" thickBot="1" x14ac:dyDescent="0.5">
      <c r="B46" s="18" t="s">
        <v>17</v>
      </c>
      <c r="C46" s="1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</row>
    <row r="47" spans="1:28" s="20" customFormat="1" ht="32" thickBot="1" x14ac:dyDescent="0.35">
      <c r="B47" s="2" t="s">
        <v>344</v>
      </c>
      <c r="C47" s="2" t="s">
        <v>2</v>
      </c>
      <c r="D47" s="2" t="s">
        <v>21</v>
      </c>
      <c r="E47" s="2" t="s">
        <v>1</v>
      </c>
      <c r="F47" s="2" t="s">
        <v>22</v>
      </c>
      <c r="G47" s="2" t="s">
        <v>14</v>
      </c>
      <c r="H47" s="2" t="s">
        <v>18</v>
      </c>
      <c r="I47" s="2" t="s">
        <v>15</v>
      </c>
      <c r="J47" s="2" t="s">
        <v>10</v>
      </c>
      <c r="K47" s="2" t="s">
        <v>23</v>
      </c>
      <c r="L47" s="2" t="s">
        <v>16</v>
      </c>
      <c r="M47" s="2" t="s">
        <v>3</v>
      </c>
      <c r="N47" s="2" t="s">
        <v>11</v>
      </c>
      <c r="O47" s="2" t="s">
        <v>4</v>
      </c>
      <c r="P47" s="2" t="s">
        <v>5</v>
      </c>
      <c r="Q47" s="2" t="s">
        <v>24</v>
      </c>
      <c r="R47" s="2" t="s">
        <v>25</v>
      </c>
      <c r="S47" s="2" t="s">
        <v>26</v>
      </c>
      <c r="T47" s="2" t="s">
        <v>27</v>
      </c>
      <c r="U47" s="2" t="s">
        <v>6</v>
      </c>
      <c r="V47" s="2" t="s">
        <v>7</v>
      </c>
      <c r="W47" s="2" t="s">
        <v>28</v>
      </c>
      <c r="X47" s="2" t="s">
        <v>29</v>
      </c>
      <c r="Y47" s="2" t="s">
        <v>30</v>
      </c>
      <c r="Z47" s="2" t="s">
        <v>31</v>
      </c>
      <c r="AA47" s="3" t="s">
        <v>8</v>
      </c>
      <c r="AB47" s="3" t="s">
        <v>9</v>
      </c>
    </row>
    <row r="48" spans="1:28" s="20" customFormat="1" x14ac:dyDescent="0.3">
      <c r="B48" s="4"/>
      <c r="C48" s="35"/>
      <c r="D48" s="5"/>
      <c r="E48" s="5"/>
      <c r="F48" s="5"/>
      <c r="G48" s="5"/>
      <c r="H48" s="5"/>
      <c r="I48" s="5"/>
      <c r="J48" s="5"/>
      <c r="K48" s="5"/>
      <c r="L48" s="4"/>
      <c r="M48" s="4"/>
      <c r="N48" s="4"/>
      <c r="O48" s="6"/>
      <c r="P48" s="7"/>
      <c r="Q48" s="8"/>
      <c r="R48" s="8"/>
      <c r="S48" s="8"/>
      <c r="T48" s="9"/>
      <c r="U48" s="9"/>
      <c r="V48" s="10"/>
      <c r="W48" s="36"/>
      <c r="X48" s="36" t="s">
        <v>0</v>
      </c>
      <c r="Y48" s="36"/>
      <c r="Z48" s="36"/>
      <c r="AA48" s="36"/>
      <c r="AB48" s="36"/>
    </row>
    <row r="49" spans="2:37" s="20" customFormat="1" x14ac:dyDescent="0.3">
      <c r="B49" s="4"/>
      <c r="C49" s="31"/>
      <c r="D49" s="5"/>
      <c r="E49" s="5"/>
      <c r="F49" s="5"/>
      <c r="G49" s="5"/>
      <c r="H49" s="5"/>
      <c r="I49" s="5"/>
      <c r="J49" s="5"/>
      <c r="K49" s="5"/>
      <c r="L49" s="4"/>
      <c r="M49" s="4"/>
      <c r="N49" s="4"/>
      <c r="O49" s="6"/>
      <c r="P49" s="7"/>
      <c r="Q49" s="8"/>
      <c r="R49" s="8"/>
      <c r="S49" s="8"/>
      <c r="T49" s="9"/>
      <c r="U49" s="9"/>
      <c r="V49" s="10"/>
      <c r="W49" s="36"/>
      <c r="X49" s="36"/>
      <c r="Y49" s="36"/>
      <c r="Z49" s="36"/>
      <c r="AA49" s="36"/>
      <c r="AB49" s="36"/>
    </row>
    <row r="50" spans="2:37" s="20" customFormat="1" x14ac:dyDescent="0.3">
      <c r="B50" s="4"/>
      <c r="C50" s="31"/>
      <c r="D50" s="5"/>
      <c r="E50" s="5"/>
      <c r="F50" s="5"/>
      <c r="G50" s="5"/>
      <c r="H50" s="5"/>
      <c r="I50" s="5"/>
      <c r="J50" s="5"/>
      <c r="K50" s="5"/>
      <c r="L50" s="4"/>
      <c r="M50" s="4"/>
      <c r="N50" s="4"/>
      <c r="O50" s="6"/>
      <c r="P50" s="7"/>
      <c r="Q50" s="8"/>
      <c r="R50" s="8"/>
      <c r="S50" s="8"/>
      <c r="T50" s="9"/>
      <c r="U50" s="9"/>
      <c r="V50" s="10"/>
      <c r="W50" s="36"/>
      <c r="X50" s="36"/>
      <c r="Y50" s="36"/>
      <c r="Z50" s="36"/>
      <c r="AA50" s="36"/>
      <c r="AB50" s="36"/>
    </row>
    <row r="51" spans="2:37" s="20" customFormat="1" x14ac:dyDescent="0.3">
      <c r="B51" s="11"/>
      <c r="C51" s="31"/>
      <c r="D51" s="12"/>
      <c r="E51" s="12"/>
      <c r="F51" s="12"/>
      <c r="G51" s="12"/>
      <c r="H51" s="12"/>
      <c r="I51" s="12"/>
      <c r="J51" s="12"/>
      <c r="K51" s="12"/>
      <c r="L51" s="11"/>
      <c r="M51" s="11"/>
      <c r="N51" s="11"/>
      <c r="O51" s="37"/>
      <c r="P51" s="13"/>
      <c r="Q51" s="14"/>
      <c r="R51" s="14"/>
      <c r="S51" s="14"/>
      <c r="T51" s="38"/>
      <c r="U51" s="38"/>
      <c r="V51" s="15"/>
      <c r="W51" s="39"/>
      <c r="X51" s="39"/>
      <c r="Y51" s="39"/>
      <c r="Z51" s="39"/>
      <c r="AA51" s="39"/>
      <c r="AB51" s="39"/>
    </row>
    <row r="52" spans="2:37" s="20" customFormat="1" x14ac:dyDescent="0.3">
      <c r="B52" s="11"/>
      <c r="C52" s="31"/>
      <c r="D52" s="12"/>
      <c r="E52" s="12"/>
      <c r="F52" s="12"/>
      <c r="G52" s="12"/>
      <c r="H52" s="12"/>
      <c r="I52" s="12"/>
      <c r="J52" s="12"/>
      <c r="K52" s="12"/>
      <c r="L52" s="11"/>
      <c r="M52" s="11"/>
      <c r="N52" s="11"/>
      <c r="O52" s="37"/>
      <c r="P52" s="13"/>
      <c r="Q52" s="14"/>
      <c r="R52" s="14"/>
      <c r="S52" s="14"/>
      <c r="T52" s="38"/>
      <c r="U52" s="38"/>
      <c r="V52" s="16"/>
      <c r="W52" s="39"/>
      <c r="X52" s="39"/>
      <c r="Y52" s="39"/>
      <c r="Z52" s="39"/>
      <c r="AA52" s="39"/>
      <c r="AB52" s="39"/>
    </row>
    <row r="53" spans="2:37" s="20" customFormat="1" x14ac:dyDescent="0.3">
      <c r="B53" s="11"/>
      <c r="C53" s="31"/>
      <c r="D53" s="12"/>
      <c r="E53" s="12"/>
      <c r="F53" s="12"/>
      <c r="G53" s="12"/>
      <c r="H53" s="12"/>
      <c r="I53" s="12"/>
      <c r="J53" s="12"/>
      <c r="K53" s="12"/>
      <c r="L53" s="11"/>
      <c r="M53" s="11"/>
      <c r="N53" s="11"/>
      <c r="O53" s="37"/>
      <c r="P53" s="13"/>
      <c r="Q53" s="14"/>
      <c r="R53" s="14"/>
      <c r="S53" s="14"/>
      <c r="T53" s="38"/>
      <c r="U53" s="38"/>
      <c r="V53" s="16"/>
      <c r="W53" s="39"/>
      <c r="X53" s="39"/>
      <c r="Y53" s="39"/>
      <c r="Z53" s="39"/>
      <c r="AA53" s="39"/>
      <c r="AB53" s="39"/>
    </row>
    <row r="54" spans="2:37" s="20" customFormat="1" ht="12" x14ac:dyDescent="0.3">
      <c r="W54" s="34"/>
    </row>
    <row r="55" spans="2:37" s="20" customFormat="1" ht="12" x14ac:dyDescent="0.3">
      <c r="W55" s="34"/>
    </row>
    <row r="56" spans="2:37" s="20" customFormat="1" ht="12" x14ac:dyDescent="0.3">
      <c r="W56" s="34"/>
    </row>
    <row r="57" spans="2:37" s="20" customFormat="1" ht="12" x14ac:dyDescent="0.3">
      <c r="W57" s="34"/>
    </row>
    <row r="58" spans="2:37" s="20" customFormat="1" ht="12" x14ac:dyDescent="0.3">
      <c r="W58" s="34"/>
    </row>
    <row r="59" spans="2:37" s="20" customFormat="1" ht="12" x14ac:dyDescent="0.3">
      <c r="W59" s="34"/>
    </row>
    <row r="60" spans="2:37" s="20" customFormat="1" x14ac:dyDescent="0.35">
      <c r="W60" s="34"/>
      <c r="AG60"/>
      <c r="AH60"/>
      <c r="AI60"/>
      <c r="AJ60"/>
      <c r="AK60"/>
    </row>
    <row r="61" spans="2:37" s="20" customFormat="1" x14ac:dyDescent="0.35">
      <c r="W61" s="34"/>
      <c r="AG61"/>
      <c r="AH61"/>
      <c r="AI61"/>
      <c r="AJ61"/>
      <c r="AK61"/>
    </row>
    <row r="62" spans="2:37" s="20" customFormat="1" x14ac:dyDescent="0.35">
      <c r="W62" s="34"/>
      <c r="AG62"/>
      <c r="AH62"/>
      <c r="AI62"/>
      <c r="AJ62"/>
      <c r="AK62"/>
    </row>
    <row r="63" spans="2:37" s="20" customFormat="1" x14ac:dyDescent="0.35">
      <c r="W63" s="34"/>
      <c r="AG63"/>
      <c r="AH63"/>
      <c r="AI63"/>
      <c r="AJ63"/>
      <c r="AK63"/>
    </row>
  </sheetData>
  <autoFilter ref="B9:AD39"/>
  <mergeCells count="3">
    <mergeCell ref="C4:E4"/>
    <mergeCell ref="C5:D5"/>
    <mergeCell ref="C6:D6"/>
  </mergeCells>
  <pageMargins left="0.7" right="0.7" top="0.75" bottom="0.75" header="0.3" footer="0.3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22</vt:i4>
      </vt:variant>
      <vt:variant>
        <vt:lpstr>Intervals amb nom</vt:lpstr>
      </vt:variant>
      <vt:variant>
        <vt:i4>35</vt:i4>
      </vt:variant>
    </vt:vector>
  </HeadingPairs>
  <TitlesOfParts>
    <vt:vector size="57" baseType="lpstr">
      <vt:lpstr>Lleida - Alt Pirineu</vt:lpstr>
      <vt:lpstr>Terres de l'Ebre</vt:lpstr>
      <vt:lpstr>BLLN</vt:lpstr>
      <vt:lpstr>Dr. Lit. 1 VM</vt:lpstr>
      <vt:lpstr>Dr. Lit. 1 Palau</vt:lpstr>
      <vt:lpstr>Bcn Esquerra 1</vt:lpstr>
      <vt:lpstr>Bcn Nord Rotellar</vt:lpstr>
      <vt:lpstr>Bcn Nord Nephros</vt:lpstr>
      <vt:lpstr>Bcnes Nord Bx Maresme</vt:lpstr>
      <vt:lpstr>Alt Maresme</vt:lpstr>
      <vt:lpstr>Maresme Central</vt:lpstr>
      <vt:lpstr>Baix Llobregat 1</vt:lpstr>
      <vt:lpstr>Bcn Dreta Litoral 2 Diagonal</vt:lpstr>
      <vt:lpstr>BBcn Dreta Litoral 2 Glòries</vt:lpstr>
      <vt:lpstr>Bcn Esquerra 2</vt:lpstr>
      <vt:lpstr>Vallés Oriental</vt:lpstr>
      <vt:lpstr>Vallès Occidental</vt:lpstr>
      <vt:lpstr>Baix Llobregat 2 Hospitalet</vt:lpstr>
      <vt:lpstr>Baix Llobregat 2 Sant Boi</vt:lpstr>
      <vt:lpstr>Tarrag i Baix P. Tgn</vt:lpstr>
      <vt:lpstr>Tarrag i Baix P. Vendrell</vt:lpstr>
      <vt:lpstr>Baix Camp - Priorat</vt:lpstr>
      <vt:lpstr>'Alt Maresme'!Àrea_d'impressió</vt:lpstr>
      <vt:lpstr>'Baix Camp - Priorat'!Àrea_d'impressió</vt:lpstr>
      <vt:lpstr>'Baix Llobregat 1'!Àrea_d'impressió</vt:lpstr>
      <vt:lpstr>'Baix Llobregat 2 Hospitalet'!Àrea_d'impressió</vt:lpstr>
      <vt:lpstr>'Baix Llobregat 2 Sant Boi'!Àrea_d'impressió</vt:lpstr>
      <vt:lpstr>'BBcn Dreta Litoral 2 Glòries'!Àrea_d'impressió</vt:lpstr>
      <vt:lpstr>'Bcn Dreta Litoral 2 Diagonal'!Àrea_d'impressió</vt:lpstr>
      <vt:lpstr>'Bcn Esquerra 1'!Àrea_d'impressió</vt:lpstr>
      <vt:lpstr>'Bcn Esquerra 2'!Àrea_d'impressió</vt:lpstr>
      <vt:lpstr>'Bcn Nord Nephros'!Àrea_d'impressió</vt:lpstr>
      <vt:lpstr>'Bcn Nord Rotellar'!Àrea_d'impressió</vt:lpstr>
      <vt:lpstr>'Bcnes Nord Bx Maresme'!Àrea_d'impressió</vt:lpstr>
      <vt:lpstr>BLLN!Àrea_d'impressió</vt:lpstr>
      <vt:lpstr>'Dr. Lit. 1 Palau'!Àrea_d'impressió</vt:lpstr>
      <vt:lpstr>'Dr. Lit. 1 VM'!Àrea_d'impressió</vt:lpstr>
      <vt:lpstr>'Lleida - Alt Pirineu'!Àrea_d'impressió</vt:lpstr>
      <vt:lpstr>'Maresme Central'!Àrea_d'impressió</vt:lpstr>
      <vt:lpstr>'Tarrag i Baix P. Tgn'!Àrea_d'impressió</vt:lpstr>
      <vt:lpstr>'Tarrag i Baix P. Vendrell'!Àrea_d'impressió</vt:lpstr>
      <vt:lpstr>'Terres de l''Ebre'!Àrea_d'impressió</vt:lpstr>
      <vt:lpstr>'Vallès Occidental'!Àrea_d'impressió</vt:lpstr>
      <vt:lpstr>'Vallés Oriental'!Àrea_d'impressió</vt:lpstr>
      <vt:lpstr>'Alt Maresme'!Print_Area</vt:lpstr>
      <vt:lpstr>'Baix Llobregat 1'!Print_Area</vt:lpstr>
      <vt:lpstr>'BBcn Dreta Litoral 2 Glòries'!Print_Area</vt:lpstr>
      <vt:lpstr>'Bcn Dreta Litoral 2 Diagonal'!Print_Area</vt:lpstr>
      <vt:lpstr>'Bcn Esquerra 1'!Print_Area</vt:lpstr>
      <vt:lpstr>'Bcn Nord Nephros'!Print_Area</vt:lpstr>
      <vt:lpstr>'Bcn Nord Rotellar'!Print_Area</vt:lpstr>
      <vt:lpstr>'Bcnes Nord Bx Maresme'!Print_Area</vt:lpstr>
      <vt:lpstr>BLLN!Print_Area</vt:lpstr>
      <vt:lpstr>'Dr. Lit. 1 Palau'!Print_Area</vt:lpstr>
      <vt:lpstr>'Dr. Lit. 1 VM'!Print_Area</vt:lpstr>
      <vt:lpstr>'Lleida - Alt Pirineu'!Print_Area</vt:lpstr>
      <vt:lpstr>'Maresme Central'!Print_Area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Pascual Marcel</dc:creator>
  <cp:lastModifiedBy>Betriu Sangüesa, Elisa</cp:lastModifiedBy>
  <cp:lastPrinted>2023-06-26T08:46:15Z</cp:lastPrinted>
  <dcterms:created xsi:type="dcterms:W3CDTF">2022-07-29T07:22:33Z</dcterms:created>
  <dcterms:modified xsi:type="dcterms:W3CDTF">2025-01-13T09:30:18Z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2024-07-02T13:14:36Z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dbc185b3-7483-4e56-bbb7-681826b8db04</vt:lpwstr>
  </property>
  <property fmtid="{D5CDD505-2E9C-101B-9397-08002B2CF9AE}" pid="8" name="MSIP_Label_a8de25a8-ef47-40a7-b7ec-c38f3edc2acf_ContentBits">
    <vt:lpwstr>0</vt:lpwstr>
  </property>
  <property fmtid="{D5CDD505-2E9C-101B-9397-08002B2CF9AE}" pid="9" name="_MarkAsFinal">
    <vt:bool>true</vt:bool>
  </property>
</Properties>
</file>